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fE5ZzOLm0dqcd2+M2zZo/eh9cCOZ8zY44dfLVrFD2USfr/nU+7OzG7vwZ+tj9fz9U6OnuIZhnOcH6tx/g8MujA==" workbookSaltValue="Ng+pbOuG2qF6xR7PFbTXr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AR23" i="11" s="1"/>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E17" i="2"/>
  <c r="E18" i="2"/>
  <c r="E19" i="2"/>
  <c r="E20" i="2"/>
  <c r="E21" i="2"/>
  <c r="E22" i="2"/>
  <c r="C17" i="2"/>
  <c r="C18" i="2"/>
  <c r="C19" i="2"/>
  <c r="D19" i="2" s="1"/>
  <c r="C20" i="2"/>
  <c r="D20" i="2" s="1"/>
  <c r="C21" i="2"/>
  <c r="C22" i="2"/>
  <c r="D22" i="2" s="1"/>
  <c r="I9" i="2"/>
  <c r="I10" i="2"/>
  <c r="I11" i="2"/>
  <c r="I12" i="2"/>
  <c r="I13" i="2"/>
  <c r="C10" i="2"/>
  <c r="D10" i="2" s="1"/>
  <c r="C11" i="2"/>
  <c r="C12" i="2"/>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F17" i="3"/>
  <c r="H17" i="3"/>
  <c r="I17" i="3" s="1"/>
  <c r="A18" i="3"/>
  <c r="C18" i="3"/>
  <c r="D18" i="3"/>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AN22" i="11" s="1"/>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J16" i="2" s="1"/>
  <c r="A17" i="2"/>
  <c r="B17" i="2"/>
  <c r="A18" i="2"/>
  <c r="B18" i="2"/>
  <c r="F18" i="2" s="1"/>
  <c r="A19" i="2"/>
  <c r="B19" i="2"/>
  <c r="J19" i="2" s="1"/>
  <c r="A20" i="2"/>
  <c r="B20" i="2"/>
  <c r="A21" i="2"/>
  <c r="A22" i="2"/>
  <c r="B22" i="2"/>
  <c r="A23" i="2"/>
  <c r="A24" i="2"/>
  <c r="A25" i="2"/>
  <c r="B25" i="2"/>
  <c r="C25" i="2"/>
  <c r="E25" i="2"/>
  <c r="G25" i="2"/>
  <c r="I25" i="2"/>
  <c r="A26" i="2"/>
  <c r="A27" i="2"/>
  <c r="A28" i="2"/>
  <c r="C28" i="2"/>
  <c r="D28" i="2" s="1"/>
  <c r="E28" i="2"/>
  <c r="F28" i="2" s="1"/>
  <c r="G28" i="2"/>
  <c r="I28" i="2"/>
  <c r="A29" i="2"/>
  <c r="B29" i="2"/>
  <c r="C29" i="2"/>
  <c r="D29" i="2" s="1"/>
  <c r="E29" i="2"/>
  <c r="G29" i="2"/>
  <c r="I29" i="2"/>
  <c r="A30" i="2"/>
  <c r="A31" i="2"/>
  <c r="A32" i="2"/>
  <c r="A33" i="2"/>
  <c r="A35" i="2"/>
  <c r="O37" i="11"/>
  <c r="O38" i="11"/>
  <c r="BE29" i="8"/>
  <c r="BF19" i="8"/>
  <c r="S14" i="12"/>
  <c r="BG19" i="8"/>
  <c r="K19" i="7" s="1"/>
  <c r="C26" i="3"/>
  <c r="AL31" i="8"/>
  <c r="R26" i="12"/>
  <c r="BD22" i="8"/>
  <c r="H22" i="7" s="1"/>
  <c r="H13" i="10"/>
  <c r="P13" i="14"/>
  <c r="S26" i="12"/>
  <c r="BG29" i="8"/>
  <c r="BD28" i="8"/>
  <c r="BF17" i="8"/>
  <c r="H23" i="12"/>
  <c r="D26" i="7"/>
  <c r="E26" i="12"/>
  <c r="B23" i="7"/>
  <c r="BE28" i="13"/>
  <c r="BD9" i="13"/>
  <c r="BG21" i="13"/>
  <c r="BD28" i="13"/>
  <c r="AN23" i="17"/>
  <c r="B23" i="2"/>
  <c r="BG11" i="13"/>
  <c r="BF13" i="13"/>
  <c r="BE10" i="8"/>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I22" i="7" s="1"/>
  <c r="BE11" i="8"/>
  <c r="BE12" i="8"/>
  <c r="BD17" i="13"/>
  <c r="F26" i="12"/>
  <c r="G26" i="7"/>
  <c r="C31" i="3"/>
  <c r="BD29" i="8"/>
  <c r="BF29" i="8"/>
  <c r="O31" i="8"/>
  <c r="BD12" i="13"/>
  <c r="BG12" i="13"/>
  <c r="BC30" i="8"/>
  <c r="U31" i="8"/>
  <c r="BE13" i="8"/>
  <c r="AV30" i="21"/>
  <c r="AR30" i="21" s="1"/>
  <c r="BM30" i="16"/>
  <c r="AZ14" i="13"/>
  <c r="BD22" i="13"/>
  <c r="BG22" i="13"/>
  <c r="AW30" i="21"/>
  <c r="AP26" i="17"/>
  <c r="BG14" i="16"/>
  <c r="D14" i="7"/>
  <c r="X31" i="8"/>
  <c r="AM31" i="8"/>
  <c r="AW23" i="21"/>
  <c r="BC30" i="13"/>
  <c r="BD29" i="13"/>
  <c r="BE29" i="13"/>
  <c r="BE22" i="13"/>
  <c r="AP14" i="17"/>
  <c r="BE21" i="13"/>
  <c r="AR14" i="21"/>
  <c r="BJ14" i="16"/>
  <c r="AT26" i="20"/>
  <c r="AI14" i="20"/>
  <c r="BF13" i="8"/>
  <c r="R14" i="12"/>
  <c r="AH31" i="8"/>
  <c r="BA26" i="13"/>
  <c r="AT30" i="20"/>
  <c r="P31" i="19"/>
  <c r="R13" i="17"/>
  <c r="BE11" i="13"/>
  <c r="BD21" i="8"/>
  <c r="H21" i="7" s="1"/>
  <c r="BG18" i="8"/>
  <c r="K18" i="7" s="1"/>
  <c r="AZ26" i="13"/>
  <c r="BA30" i="13"/>
  <c r="BF28" i="13"/>
  <c r="BD11" i="13"/>
  <c r="BD18" i="8"/>
  <c r="BM23" i="16"/>
  <c r="AZ30" i="13"/>
  <c r="AO14" i="20"/>
  <c r="AY14" i="13"/>
  <c r="BC23" i="13"/>
  <c r="BG25" i="13"/>
  <c r="BE19" i="8"/>
  <c r="I19" i="7" s="1"/>
  <c r="BF18" i="8"/>
  <c r="BF12" i="8"/>
  <c r="BC14" i="13"/>
  <c r="AR30" i="11"/>
  <c r="AG31" i="8"/>
  <c r="B14" i="7"/>
  <c r="AB31" i="19"/>
  <c r="AS26" i="21"/>
  <c r="BG29" i="13"/>
  <c r="AQ31" i="19"/>
  <c r="C26" i="7"/>
  <c r="AQ31" i="13"/>
  <c r="BD17" i="8"/>
  <c r="H17" i="7" s="1"/>
  <c r="BD13" i="13"/>
  <c r="BF9" i="13"/>
  <c r="BE9" i="13"/>
  <c r="AT23" i="20"/>
  <c r="Q31" i="8"/>
  <c r="H26" i="12"/>
  <c r="E23" i="12"/>
  <c r="D23" i="7"/>
  <c r="F23" i="12"/>
  <c r="D23" i="12"/>
  <c r="ER31" i="8"/>
  <c r="N19" i="11"/>
  <c r="AE14" i="21"/>
  <c r="AB14" i="21"/>
  <c r="AL16" i="11"/>
  <c r="L16" i="14"/>
  <c r="AP9" i="11"/>
  <c r="D16" i="6"/>
  <c r="Y22" i="11"/>
  <c r="Y18" i="11"/>
  <c r="L30" i="11"/>
  <c r="AC25" i="11"/>
  <c r="AG26" i="17"/>
  <c r="EL31" i="8"/>
  <c r="O14" i="21"/>
  <c r="BD12" i="21"/>
  <c r="BD14" i="21" s="1"/>
  <c r="BD31" i="21" s="1"/>
  <c r="K14" i="11"/>
  <c r="AC11" i="11"/>
  <c r="EQ31" i="8"/>
  <c r="AA30" i="11"/>
  <c r="M26" i="11"/>
  <c r="I13" i="3"/>
  <c r="E11" i="12"/>
  <c r="AP12" i="11"/>
  <c r="J30" i="11"/>
  <c r="AC28" i="11"/>
  <c r="E9" i="12"/>
  <c r="EN31" i="8"/>
  <c r="F12" i="21"/>
  <c r="H28" i="2"/>
  <c r="J12" i="2"/>
  <c r="AN14" i="21"/>
  <c r="F21" i="2"/>
  <c r="N12" i="11"/>
  <c r="D12" i="2"/>
  <c r="C9" i="6"/>
  <c r="B22" i="6"/>
  <c r="AL22" i="11"/>
  <c r="L22" i="14"/>
  <c r="C22" i="6"/>
  <c r="B9" i="6"/>
  <c r="AO22" i="11"/>
  <c r="I11" i="10"/>
  <c r="K11" i="10" s="1"/>
  <c r="I9" i="10"/>
  <c r="K9" i="10" s="1"/>
  <c r="G19" i="3"/>
  <c r="G14" i="11"/>
  <c r="D14" i="12" s="1"/>
  <c r="AO13" i="11"/>
  <c r="L14" i="11"/>
  <c r="AA26" i="11"/>
  <c r="AC17" i="11"/>
  <c r="I14" i="11"/>
  <c r="K23" i="11"/>
  <c r="E19" i="6"/>
  <c r="K19" i="12" s="1"/>
  <c r="H9" i="2"/>
  <c r="G13" i="3"/>
  <c r="E22" i="6"/>
  <c r="M30" i="11"/>
  <c r="G16" i="3"/>
  <c r="AN9" i="11"/>
  <c r="D9" i="6"/>
  <c r="I20" i="3"/>
  <c r="I16" i="3"/>
  <c r="AI14" i="11"/>
  <c r="G12" i="12"/>
  <c r="D12" i="12"/>
  <c r="C16" i="14"/>
  <c r="K16" i="14" s="1"/>
  <c r="S14" i="11"/>
  <c r="AV14" i="11"/>
  <c r="AW33" i="11"/>
  <c r="R14" i="11"/>
  <c r="R23" i="11"/>
  <c r="R30" i="11"/>
  <c r="Y11" i="11"/>
  <c r="C12" i="14"/>
  <c r="K12" i="14" s="1"/>
  <c r="AC19" i="11"/>
  <c r="BB26" i="16"/>
  <c r="X23" i="11"/>
  <c r="X30" i="11"/>
  <c r="Z26" i="11"/>
  <c r="AC13" i="11"/>
  <c r="AB26" i="11"/>
  <c r="AD26" i="11"/>
  <c r="AF26" i="11"/>
  <c r="AF23" i="11"/>
  <c r="H26" i="11"/>
  <c r="J14" i="11"/>
  <c r="J23" i="11"/>
  <c r="I23" i="11"/>
  <c r="I26" i="11"/>
  <c r="I30" i="11"/>
  <c r="AT23" i="17"/>
  <c r="AT31" i="17" s="1"/>
  <c r="D22" i="6"/>
  <c r="E22" i="3"/>
  <c r="B13" i="6"/>
  <c r="L13" i="14"/>
  <c r="I13" i="7"/>
  <c r="E21" i="6"/>
  <c r="AO21" i="11"/>
  <c r="D21" i="2"/>
  <c r="B21" i="6"/>
  <c r="AN21" i="11"/>
  <c r="W30" i="11"/>
  <c r="M14" i="11"/>
  <c r="AR19" i="11"/>
  <c r="M23" i="11"/>
  <c r="BA14" i="16"/>
  <c r="AR22" i="17"/>
  <c r="I11" i="3"/>
  <c r="H26" i="3"/>
  <c r="I26" i="3" s="1"/>
  <c r="D10" i="6"/>
  <c r="E18" i="3"/>
  <c r="L10" i="14"/>
  <c r="C10" i="6"/>
  <c r="J10" i="2"/>
  <c r="AL17" i="11"/>
  <c r="B17" i="6"/>
  <c r="BI17" i="16"/>
  <c r="L17" i="14"/>
  <c r="C17" i="6"/>
  <c r="AP22" i="11"/>
  <c r="AP13" i="11"/>
  <c r="AP10" i="11"/>
  <c r="H30" i="11"/>
  <c r="N29" i="11"/>
  <c r="BI21" i="16"/>
  <c r="H23" i="3"/>
  <c r="I23" i="3" s="1"/>
  <c r="D26" i="3"/>
  <c r="E26" i="3" s="1"/>
  <c r="X14" i="11"/>
  <c r="L21" i="14"/>
  <c r="AL10" i="11"/>
  <c r="AT14" i="11"/>
  <c r="N10" i="11"/>
  <c r="D21" i="6"/>
  <c r="J13" i="7"/>
  <c r="AL21" i="11"/>
  <c r="E13" i="3"/>
  <c r="C21" i="6"/>
  <c r="E17" i="3"/>
  <c r="AN17" i="11"/>
  <c r="E12" i="3"/>
  <c r="Y20" i="11"/>
  <c r="AU14" i="11"/>
  <c r="AC18" i="11"/>
  <c r="D17" i="6"/>
  <c r="AA30" i="17"/>
  <c r="H23" i="11"/>
  <c r="I21" i="3"/>
  <c r="AC21" i="11"/>
  <c r="L23" i="11"/>
  <c r="AT23" i="11"/>
  <c r="AT26" i="11" s="1"/>
  <c r="AT30" i="11" s="1"/>
  <c r="AI23" i="11"/>
  <c r="AF14" i="21"/>
  <c r="AX14" i="21"/>
  <c r="AZ33" i="21"/>
  <c r="E14" i="11"/>
  <c r="AL19" i="11"/>
  <c r="Y19" i="11"/>
  <c r="Y29" i="11"/>
  <c r="N13" i="11"/>
  <c r="N9" i="11"/>
  <c r="AC16" i="11"/>
  <c r="H14" i="11"/>
  <c r="F25" i="2"/>
  <c r="F17" i="10"/>
  <c r="L9" i="14"/>
  <c r="J9" i="2"/>
  <c r="BI16" i="16"/>
  <c r="AN16" i="11"/>
  <c r="B16" i="6"/>
  <c r="Y12" i="11"/>
  <c r="E14" i="21"/>
  <c r="T10" i="21"/>
  <c r="AL14" i="21"/>
  <c r="E23" i="2"/>
  <c r="AO16" i="11"/>
  <c r="H30" i="3"/>
  <c r="BI18" i="16"/>
  <c r="G17" i="3"/>
  <c r="B25" i="6"/>
  <c r="AO17" i="11"/>
  <c r="D17" i="2"/>
  <c r="E16" i="6"/>
  <c r="I16" i="7"/>
  <c r="C16" i="6"/>
  <c r="Y25" i="11"/>
  <c r="W26" i="11"/>
  <c r="B29" i="6"/>
  <c r="K29" i="7"/>
  <c r="F10" i="10"/>
  <c r="E28" i="3"/>
  <c r="D26" i="14"/>
  <c r="D11" i="2"/>
  <c r="B19" i="6"/>
  <c r="AO10" i="11"/>
  <c r="B10" i="6"/>
  <c r="AL28" i="11"/>
  <c r="AL13" i="11"/>
  <c r="E13" i="6"/>
  <c r="I10" i="7"/>
  <c r="H10" i="2"/>
  <c r="C13" i="6"/>
  <c r="AO19" i="11"/>
  <c r="F19" i="2"/>
  <c r="D19" i="6"/>
  <c r="J19" i="12" s="1"/>
  <c r="J19" i="7"/>
  <c r="H19" i="2"/>
  <c r="AN19" i="11"/>
  <c r="C19" i="6"/>
  <c r="I19" i="12" s="1"/>
  <c r="Y9" i="11"/>
  <c r="W14" i="11"/>
  <c r="F9" i="12"/>
  <c r="F12" i="2"/>
  <c r="AN10" i="11"/>
  <c r="J22" i="2"/>
  <c r="AL29" i="11"/>
  <c r="C25" i="6"/>
  <c r="F10" i="2"/>
  <c r="AH26" i="11"/>
  <c r="N11" i="11"/>
  <c r="AN13" i="11"/>
  <c r="G9" i="12"/>
  <c r="E10" i="6"/>
  <c r="N21" i="11"/>
  <c r="AC12" i="11"/>
  <c r="E19" i="3"/>
  <c r="I12" i="3"/>
  <c r="E12" i="12"/>
  <c r="E17" i="6"/>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C26" i="2"/>
  <c r="D26" i="2" s="1"/>
  <c r="J25" i="2"/>
  <c r="L25" i="14"/>
  <c r="BG26" i="16"/>
  <c r="AN26" i="17"/>
  <c r="AC31" i="8"/>
  <c r="W31" i="8"/>
  <c r="W31" i="13"/>
  <c r="S31" i="13"/>
  <c r="BF20" i="8"/>
  <c r="AQ10" i="11"/>
  <c r="X31" i="13"/>
  <c r="AQ29" i="11"/>
  <c r="BG9" i="13"/>
  <c r="BA14" i="13"/>
  <c r="V31" i="13"/>
  <c r="W23" i="11"/>
  <c r="AQ13" i="11"/>
  <c r="AG31" i="19"/>
  <c r="AO23" i="20"/>
  <c r="BH31" i="13"/>
  <c r="AC31" i="13"/>
  <c r="Y31" i="13"/>
  <c r="Q31" i="13"/>
  <c r="F9" i="11"/>
  <c r="AQ19" i="11"/>
  <c r="AQ22" i="11"/>
  <c r="N25" i="11"/>
  <c r="F18" i="11"/>
  <c r="AQ18" i="11" s="1"/>
  <c r="F12" i="11"/>
  <c r="AQ12"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9" i="11"/>
  <c r="BH9" i="16"/>
  <c r="BK19" i="11"/>
  <c r="V16" i="11"/>
  <c r="BI22" i="11"/>
  <c r="BE13" i="11"/>
  <c r="BI18" i="11"/>
  <c r="BF25" i="11"/>
  <c r="BF10" i="11"/>
  <c r="BH16" i="16"/>
  <c r="BL17" i="11"/>
  <c r="Q18" i="20"/>
  <c r="Q23" i="20" s="1"/>
  <c r="V11" i="16"/>
  <c r="AO30" i="17"/>
  <c r="BE28" i="11"/>
  <c r="BE21" i="11"/>
  <c r="BH28" i="11"/>
  <c r="BE29" i="11"/>
  <c r="BJ12" i="11"/>
  <c r="AO13" i="17"/>
  <c r="BG19" i="11"/>
  <c r="BE25" i="11"/>
  <c r="BJ19" i="11"/>
  <c r="AO16" i="17"/>
  <c r="BE10" i="11"/>
  <c r="BJ29" i="11"/>
  <c r="AM21" i="11"/>
  <c r="BK12" i="11"/>
  <c r="X17" i="17"/>
  <c r="AQ26" i="21"/>
  <c r="AY19" i="11"/>
  <c r="AF14" i="11"/>
  <c r="AS14" i="16"/>
  <c r="BM16" i="16"/>
  <c r="F17" i="16"/>
  <c r="BL17" i="16" s="1"/>
  <c r="S14" i="16"/>
  <c r="BL29" i="16"/>
  <c r="V12" i="21"/>
  <c r="BF26" i="16"/>
  <c r="AC23" i="16"/>
  <c r="H23" i="16"/>
  <c r="H31" i="16" s="1"/>
  <c r="I26" i="16"/>
  <c r="AY26" i="16"/>
  <c r="I14" i="16"/>
  <c r="BN23" i="16"/>
  <c r="BN31" i="16" s="1"/>
  <c r="BM29" i="16"/>
  <c r="AG14" i="16"/>
  <c r="P14" i="16"/>
  <c r="F13" i="16"/>
  <c r="BL13" i="16" s="1"/>
  <c r="U30" i="16"/>
  <c r="AM14" i="20"/>
  <c r="AD14" i="20"/>
  <c r="W14" i="20"/>
  <c r="N30" i="16"/>
  <c r="BC33" i="21"/>
  <c r="G14" i="21"/>
  <c r="H14" i="21"/>
  <c r="AN14" i="20"/>
  <c r="AT18" i="20"/>
  <c r="X11" i="17"/>
  <c r="O23" i="17"/>
  <c r="O31" i="17" s="1"/>
  <c r="Y14" i="17"/>
  <c r="AC26" i="16"/>
  <c r="AV14" i="16"/>
  <c r="AO26" i="16"/>
  <c r="X19" i="20"/>
  <c r="J23" i="20"/>
  <c r="AE23" i="20"/>
  <c r="AS21" i="20"/>
  <c r="AQ13" i="17"/>
  <c r="J14" i="17"/>
  <c r="AL14" i="17"/>
  <c r="AU14" i="17"/>
  <c r="Z14" i="17"/>
  <c r="T14" i="17"/>
  <c r="AQ21" i="17"/>
  <c r="G14" i="17"/>
  <c r="K14" i="17"/>
  <c r="R30" i="17"/>
  <c r="F18" i="17"/>
  <c r="AQ18" i="17" s="1"/>
  <c r="Y23" i="17"/>
  <c r="V18" i="16"/>
  <c r="E26" i="2"/>
  <c r="F26" i="2" s="1"/>
  <c r="AL9" i="11"/>
  <c r="AO18" i="11"/>
  <c r="AL18" i="11"/>
  <c r="C23" i="2"/>
  <c r="D23" i="2" s="1"/>
  <c r="K26" i="2"/>
  <c r="AN11" i="11"/>
  <c r="H18" i="7"/>
  <c r="K23" i="2"/>
  <c r="C11" i="6"/>
  <c r="I11" i="12" s="1"/>
  <c r="AN18" i="11"/>
  <c r="J21" i="2"/>
  <c r="F9" i="2"/>
  <c r="B11" i="6"/>
  <c r="N26" i="2"/>
  <c r="L11" i="14"/>
  <c r="H18" i="2"/>
  <c r="H16" i="2"/>
  <c r="M14" i="2"/>
  <c r="M23" i="2"/>
  <c r="N14" i="2"/>
  <c r="AO18" i="17"/>
  <c r="C18" i="6"/>
  <c r="AL11" i="11"/>
  <c r="L18" i="14"/>
  <c r="B18" i="6"/>
  <c r="J29" i="2"/>
  <c r="AO11" i="11"/>
  <c r="I11" i="7"/>
  <c r="D18" i="2"/>
  <c r="AO9" i="11"/>
  <c r="L20" i="14"/>
  <c r="G26" i="2"/>
  <c r="D18" i="6"/>
  <c r="J18" i="12" s="1"/>
  <c r="AO12" i="11"/>
  <c r="N23" i="2"/>
  <c r="K30" i="2"/>
  <c r="J20" i="2"/>
  <c r="H12" i="2"/>
  <c r="G14" i="2"/>
  <c r="F16" i="2"/>
  <c r="C30" i="2"/>
  <c r="D30" i="2" s="1"/>
  <c r="L12" i="14"/>
  <c r="H29" i="2"/>
  <c r="H20" i="2"/>
  <c r="AM20" i="11"/>
  <c r="E20" i="6"/>
  <c r="B20" i="6"/>
  <c r="I14" i="2"/>
  <c r="J14" i="2" s="1"/>
  <c r="AN12" i="11"/>
  <c r="F20" i="2"/>
  <c r="AL12" i="11"/>
  <c r="I12" i="7"/>
  <c r="E14" i="2"/>
  <c r="F14" i="2" s="1"/>
  <c r="F29" i="2"/>
  <c r="C20" i="6"/>
  <c r="F13" i="2"/>
  <c r="J13" i="2"/>
  <c r="AM12" i="11"/>
  <c r="J20" i="7"/>
  <c r="C14" i="2"/>
  <c r="D14" i="2" s="1"/>
  <c r="D12" i="6"/>
  <c r="C12" i="6"/>
  <c r="I12" i="12" s="1"/>
  <c r="B12" i="6"/>
  <c r="E12" i="6"/>
  <c r="E28" i="6"/>
  <c r="D20" i="6"/>
  <c r="J20" i="12" s="1"/>
  <c r="AO12" i="17"/>
  <c r="G23" i="2"/>
  <c r="AL23" i="11" s="1"/>
  <c r="E11" i="6"/>
  <c r="AO28" i="11"/>
  <c r="I23" i="2"/>
  <c r="J23" i="2" s="1"/>
  <c r="J12" i="7"/>
  <c r="F30" i="17"/>
  <c r="F26" i="17"/>
  <c r="AN20" i="11"/>
  <c r="AL20" i="11"/>
  <c r="Z14" i="11"/>
  <c r="AC10" i="11"/>
  <c r="AB14" i="11"/>
  <c r="AB23" i="11"/>
  <c r="AC22" i="11"/>
  <c r="AC29" i="11"/>
  <c r="AC30" i="11" s="1"/>
  <c r="AB30" i="11"/>
  <c r="AD14" i="11"/>
  <c r="H14" i="12"/>
  <c r="M31" i="8"/>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AO17" i="17"/>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M16" i="11"/>
  <c r="AP23" i="21"/>
  <c r="AO10" i="17"/>
  <c r="BK11" i="11"/>
  <c r="BG13" i="11"/>
  <c r="AQ14" i="21"/>
  <c r="BH28" i="16"/>
  <c r="V20" i="11"/>
  <c r="R18" i="20"/>
  <c r="R23" i="20" s="1"/>
  <c r="BK13" i="11"/>
  <c r="V29" i="11"/>
  <c r="BK25" i="1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S31" i="8"/>
  <c r="J28" i="7"/>
  <c r="BE25" i="8"/>
  <c r="BD25" i="8"/>
  <c r="H25" i="7" s="1"/>
  <c r="BG25" i="8"/>
  <c r="K25" i="7" s="1"/>
  <c r="BA26" i="8"/>
  <c r="BF25" i="8"/>
  <c r="J25" i="7" s="1"/>
  <c r="AY23" i="8"/>
  <c r="BB26" i="13"/>
  <c r="BE26" i="13" s="1"/>
  <c r="S13" i="17"/>
  <c r="K26" i="11"/>
  <c r="K30" i="11" s="1"/>
  <c r="BB31" i="19"/>
  <c r="BF16" i="8"/>
  <c r="AE31" i="13"/>
  <c r="D30" i="12"/>
  <c r="B30" i="7"/>
  <c r="BE28" i="8"/>
  <c r="I28" i="7" s="1"/>
  <c r="BB30" i="8"/>
  <c r="L31" i="13"/>
  <c r="AM14" i="17"/>
  <c r="AY30" i="8"/>
  <c r="BD18" i="13"/>
  <c r="AZ23" i="13"/>
  <c r="BB14" i="13"/>
  <c r="G26" i="12"/>
  <c r="E26" i="7"/>
  <c r="BG10" i="8"/>
  <c r="K10" i="7" s="1"/>
  <c r="AY14" i="8"/>
  <c r="BG12" i="8"/>
  <c r="K12" i="7" s="1"/>
  <c r="BD12" i="8"/>
  <c r="H12" i="7" s="1"/>
  <c r="BD16" i="8"/>
  <c r="H16" i="7" s="1"/>
  <c r="BG16" i="8"/>
  <c r="K16" i="7" s="1"/>
  <c r="BG9" i="8"/>
  <c r="K9" i="7" s="1"/>
  <c r="BI20" i="16"/>
  <c r="AZ30" i="8"/>
  <c r="BD9" i="8"/>
  <c r="H9" i="7" s="1"/>
  <c r="BF9" i="8"/>
  <c r="J9" i="7" s="1"/>
  <c r="BE9" i="8"/>
  <c r="I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H31" i="12"/>
  <c r="J16" i="7"/>
  <c r="AL14" i="11"/>
  <c r="B14" i="6"/>
  <c r="BL18" i="16"/>
  <c r="Z23" i="16"/>
  <c r="AA23" i="16" s="1"/>
  <c r="BF14" i="16"/>
  <c r="BL19" i="16"/>
  <c r="AP14" i="16"/>
  <c r="AL31" i="16"/>
  <c r="BK14" i="16"/>
  <c r="O23" i="16"/>
  <c r="O26" i="16" s="1"/>
  <c r="R26" i="16"/>
  <c r="AA9" i="16"/>
  <c r="AB14" i="16"/>
  <c r="G14" i="16"/>
  <c r="BD14" i="16"/>
  <c r="AB26" i="16"/>
  <c r="BE14" i="16"/>
  <c r="F16" i="16"/>
  <c r="V25" i="16"/>
  <c r="V9" i="16"/>
  <c r="BL28" i="16"/>
  <c r="BL16" i="16"/>
  <c r="K14" i="2"/>
  <c r="H14" i="2"/>
  <c r="U14" i="16"/>
  <c r="AF14" i="16"/>
  <c r="AA14" i="11"/>
  <c r="F11" i="11"/>
  <c r="AQ11" i="11" s="1"/>
  <c r="F11" i="16"/>
  <c r="BL11" i="16" s="1"/>
  <c r="E9" i="6"/>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BF23" i="13"/>
  <c r="I32" i="20"/>
  <c r="Q32" i="20"/>
  <c r="G14" i="14"/>
  <c r="AX32" i="20"/>
  <c r="AV23" i="21" l="1"/>
  <c r="F23" i="2"/>
  <c r="F31" i="7"/>
  <c r="J12" i="12"/>
  <c r="AL25" i="11"/>
  <c r="H11" i="2"/>
  <c r="P25" i="11"/>
  <c r="AM11" i="11"/>
  <c r="X14" i="20"/>
  <c r="AM25" i="11"/>
  <c r="R12" i="14"/>
  <c r="AY29" i="11"/>
  <c r="AO21" i="17"/>
  <c r="AM17" i="11"/>
  <c r="BJ9" i="11"/>
  <c r="S18" i="16"/>
  <c r="S23" i="16" s="1"/>
  <c r="S31" i="16" s="1"/>
  <c r="AM13" i="11"/>
  <c r="AP30" i="20"/>
  <c r="BF22" i="11"/>
  <c r="BE17" i="11"/>
  <c r="BF20" i="11"/>
  <c r="AM22" i="11"/>
  <c r="V25" i="11"/>
  <c r="BE18" i="11"/>
  <c r="AO9" i="17"/>
  <c r="BL29" i="11"/>
  <c r="BK18" i="11"/>
  <c r="AP30" i="21"/>
  <c r="P18" i="17"/>
  <c r="BI19" i="11"/>
  <c r="BH19" i="16"/>
  <c r="BE19" i="11"/>
  <c r="BG16" i="11"/>
  <c r="BH18" i="16"/>
  <c r="BJ13" i="11"/>
  <c r="BK9" i="11"/>
  <c r="S20" i="14"/>
  <c r="V20" i="14" s="1"/>
  <c r="BH21" i="16"/>
  <c r="BH11" i="16"/>
  <c r="BE11" i="11"/>
  <c r="I16" i="12"/>
  <c r="BF11" i="8"/>
  <c r="J11" i="7" s="1"/>
  <c r="AP17" i="20"/>
  <c r="T18"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C14" i="6"/>
  <c r="Q16" i="11"/>
  <c r="D26" i="6"/>
  <c r="AO14" i="11"/>
  <c r="AO14" i="17"/>
  <c r="BD14" i="13"/>
  <c r="H33" i="11"/>
  <c r="J13" i="10"/>
  <c r="L13" i="10" s="1"/>
  <c r="AC20" i="11"/>
  <c r="AM14" i="21"/>
  <c r="Q9" i="11"/>
  <c r="AN29" i="11"/>
  <c r="D23" i="3"/>
  <c r="E23" i="3" s="1"/>
  <c r="J25" i="10"/>
  <c r="L25" i="10" s="1"/>
  <c r="E14" i="6"/>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K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O18" i="11"/>
  <c r="AW32" i="20"/>
  <c r="AH33" i="17" l="1"/>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31" i="14" s="1"/>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AX26" i="16"/>
  <c r="BC26" i="16"/>
  <c r="BC30" i="16"/>
  <c r="AB23" i="16"/>
  <c r="AT14" i="16"/>
  <c r="BC14" i="16"/>
  <c r="AV33" i="17"/>
  <c r="P23" i="16"/>
  <c r="P26" i="16" s="1"/>
  <c r="M23" i="17"/>
  <c r="M31" i="17" s="1"/>
  <c r="H31" i="11"/>
  <c r="G33" i="11"/>
  <c r="I22" i="12"/>
  <c r="K31" i="8"/>
  <c r="F30" i="12"/>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AM30" i="16"/>
  <c r="AK30" i="17"/>
  <c r="G23" i="17"/>
  <c r="AR23" i="17"/>
  <c r="N14" i="16"/>
  <c r="N31" i="16" s="1"/>
  <c r="V14" i="17"/>
  <c r="V31" i="17" s="1"/>
  <c r="AV23" i="16"/>
  <c r="Y31" i="21"/>
  <c r="I26" i="17"/>
  <c r="AP28" i="11"/>
  <c r="AM26" i="16"/>
  <c r="AF26" i="17"/>
  <c r="AB30" i="16"/>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E31" i="14" s="1"/>
  <c r="K21" i="7"/>
  <c r="K21" i="12"/>
  <c r="O31" i="16"/>
  <c r="U14" i="17"/>
  <c r="G31" i="20"/>
  <c r="E31" i="2"/>
  <c r="AI31" i="11"/>
  <c r="BT14" i="16"/>
  <c r="BI23" i="16"/>
  <c r="D31" i="12"/>
  <c r="G33" i="20"/>
  <c r="I18" i="12"/>
  <c r="L30" i="20"/>
  <c r="I21" i="12"/>
  <c r="BE14" i="8"/>
  <c r="BF14" i="8"/>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S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L32" i="20"/>
  <c r="AC32" i="20"/>
  <c r="AO32" i="20"/>
  <c r="AB33" i="16" l="1"/>
  <c r="F33" i="12"/>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F32" i="11"/>
  <c r="AN32" i="16"/>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W32" i="16"/>
  <c r="AG32" i="17"/>
  <c r="AG32" i="16"/>
  <c r="F32" i="21"/>
  <c r="AO32" i="17"/>
  <c r="BC32" i="16"/>
  <c r="AM32" i="21"/>
  <c r="AP32" i="17"/>
  <c r="M32" i="16"/>
  <c r="R32" i="17"/>
  <c r="K32" i="11"/>
  <c r="AF32" i="17"/>
  <c r="BK32" i="16"/>
  <c r="AH32" i="21"/>
  <c r="E32" i="21"/>
  <c r="BO32" i="16"/>
  <c r="AV33" i="11" l="1"/>
  <c r="BQ31" i="16"/>
  <c r="AT32" i="21"/>
  <c r="BL32" i="16"/>
  <c r="AQ32" i="11"/>
  <c r="AQ32" i="17"/>
  <c r="AP32" i="11"/>
  <c r="AX31" i="11"/>
  <c r="H30" i="2"/>
  <c r="AL30" i="11"/>
  <c r="AL33" i="11" s="1"/>
  <c r="G31" i="2"/>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G31" i="3" s="1"/>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AM31" i="11"/>
  <c r="C31" i="6"/>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B31" i="6"/>
  <c r="AL31" i="11"/>
  <c r="AO31" i="11"/>
  <c r="BC31" i="8"/>
  <c r="K9" i="14"/>
  <c r="C23" i="14"/>
  <c r="K19" i="14"/>
  <c r="Y31" i="14"/>
  <c r="AB31" i="14"/>
  <c r="R31" i="14"/>
  <c r="AC31" i="14"/>
  <c r="V31" i="14"/>
  <c r="X31" i="14"/>
  <c r="S31" i="14"/>
  <c r="M31" i="14"/>
  <c r="Z31" i="14"/>
  <c r="W31" i="14"/>
  <c r="AD31" i="14"/>
  <c r="V23" i="11"/>
  <c r="U26" i="11"/>
  <c r="AA31" i="14"/>
  <c r="H31" i="14"/>
  <c r="U32" i="11"/>
  <c r="F31" i="2" l="1"/>
  <c r="V31" i="16"/>
  <c r="BF31" i="11"/>
  <c r="BT31" i="16"/>
  <c r="BT33" i="16"/>
  <c r="BG31" i="8"/>
  <c r="K31" i="7" s="1"/>
  <c r="AS33" i="20"/>
  <c r="AR33" i="20" s="1"/>
  <c r="F31" i="17"/>
  <c r="AQ31" i="17" s="1"/>
  <c r="BD31" i="8"/>
  <c r="H31" i="7" s="1"/>
  <c r="H31" i="2"/>
  <c r="I31" i="3"/>
  <c r="C31" i="14"/>
  <c r="J30" i="12"/>
  <c r="X26" i="17"/>
  <c r="W30" i="17"/>
  <c r="BF31" i="8"/>
  <c r="Z31" i="21"/>
  <c r="M31" i="16"/>
  <c r="AM33" i="11"/>
  <c r="AP26" i="11"/>
  <c r="AU30" i="11"/>
  <c r="U31" i="20"/>
  <c r="K31" i="20"/>
  <c r="AS31" i="20" s="1"/>
  <c r="BR33" i="16"/>
  <c r="BR31" i="16"/>
  <c r="AQ31" i="11"/>
  <c r="E31" i="3"/>
  <c r="AN31" i="11"/>
  <c r="D31" i="6"/>
  <c r="J31" i="21"/>
  <c r="AT31" i="21" s="1"/>
  <c r="BE31" i="8"/>
  <c r="I31" i="12" s="1"/>
  <c r="X30" i="20"/>
  <c r="J23" i="12"/>
  <c r="K30" i="12"/>
  <c r="BL26" i="16"/>
  <c r="K14" i="7"/>
  <c r="K14" i="12"/>
  <c r="N31" i="11"/>
  <c r="AA33" i="21"/>
  <c r="Z33" i="21"/>
  <c r="E30" i="11"/>
  <c r="T30" i="11"/>
  <c r="K31" i="12"/>
  <c r="I30" i="12"/>
  <c r="I33" i="12" s="1"/>
  <c r="S31" i="11"/>
  <c r="T31" i="11" s="1"/>
  <c r="K23" i="7"/>
  <c r="K23" i="12"/>
  <c r="E33" i="16"/>
  <c r="V26" i="11"/>
  <c r="U30" i="11"/>
  <c r="W33" i="20" l="1"/>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<sst xmlns="http://schemas.openxmlformats.org/spreadsheetml/2006/main" count="2638" uniqueCount="1168">
  <si>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</si>
  <si>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</si>
  <si>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</si>
  <si>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</si>
  <si>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</si>
  <si>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</si>
  <si>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</si>
  <si>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</si>
  <si>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</si>
  <si>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</si>
  <si>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</si>
  <si>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</si>
  <si>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</si>
  <si>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</si>
  <si>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</si>
  <si>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</si>
  <si>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</si>
  <si>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</si>
  <si>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</si>
  <si>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</si>
  <si>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</si>
  <si>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</si>
  <si>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</si>
  <si>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</si>
  <si>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</si>
  <si>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</si>
  <si>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</si>
  <si>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</si>
  <si>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</si>
  <si>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</si>
  <si>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</si>
  <si>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</si>
  <si>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</si>
  <si>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</si>
  <si>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</si>
  <si>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</si>
  <si>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</si>
  <si>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</si>
  <si>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</si>
  <si>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</si>
  <si>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</si>
  <si>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</si>
  <si>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</si>
  <si>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</si>
  <si>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</si>
  <si>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</si>
  <si>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</si>
  <si>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</si>
  <si>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</si>
  <si>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</si>
  <si>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</si>
  <si>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</si>
  <si>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</si>
  <si>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</si>
  <si>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</si>
  <si>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</si>
  <si>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</si>
  <si>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</si>
  <si>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</si>
  <si>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</si>
  <si>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</si>
  <si>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</si>
  <si>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</si>
  <si>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</si>
  <si>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</si>
  <si>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</si>
  <si>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</si>
  <si>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</si>
  <si>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</si>
  <si>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</si>
  <si>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</si>
  <si>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</si>
  <si>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</si>
  <si>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</si>
  <si>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</si>
  <si>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</si>
  <si>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</si>
  <si>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</si>
  <si>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</si>
  <si>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</si>
  <si>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</si>
  <si>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</si>
  <si>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</si>
  <si>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</si>
  <si>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</si>
  <si>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</si>
  <si>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</si>
  <si>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</si>
  <si>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</si>
  <si>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</si>
  <si>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</si>
  <si>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</si>
  <si>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</si>
  <si>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</si>
  <si>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</si>
  <si>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</si>
  <si>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</si>
  <si>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</si>
  <si>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</si>
  <si>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</si>
  <si>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</si>
  <si>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</si>
  <si>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</si>
  <si>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</si>
  <si>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</si>
  <si>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</si>
  <si>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</si>
  <si>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</si>
  <si>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</si>
  <si>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</si>
  <si>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</si>
  <si>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</si>
  <si>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</si>
  <si>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</si>
  <si>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</si>
  <si>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</si>
  <si>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</si>
  <si>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</si>
  <si>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</si>
  <si>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</si>
  <si>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</si>
  <si>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</si>
  <si>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</si>
  <si>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</si>
  <si>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</si>
  <si>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</si>
  <si>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</si>
  <si>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</si>
  <si>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</si>
  <si>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</si>
  <si>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</si>
  <si>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</si>
  <si>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</si>
  <si>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</si>
  <si>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</si>
  <si>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</si>
  <si>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</si>
  <si>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</si>
  <si>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</si>
  <si>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</si>
  <si>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</si>
  <si>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</si>
  <si>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</si>
  <si>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</si>
  <si>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</si>
  <si>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</si>
  <si>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</si>
  <si>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</si>
  <si>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</si>
  <si>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</si>
  <si>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</si>
  <si>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</si>
  <si>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</si>
  <si>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</si>
  <si>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</si>
  <si>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</si>
  <si>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</si>
  <si>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</si>
  <si>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</si>
  <si>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</si>
  <si>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</si>
  <si>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</si>
  <si>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</si>
  <si>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</si>
  <si>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</si>
  <si>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</si>
  <si>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</si>
  <si>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</si>
  <si>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</si>
  <si>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</si>
  <si>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</si>
  <si>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</si>
  <si>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</si>
  <si>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</si>
  <si>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</si>
  <si>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</si>
  <si>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</si>
  <si>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</si>
  <si>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</si>
  <si>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</si>
  <si>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</si>
  <si>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</si>
  <si>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</si>
  <si>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</si>
  <si>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</si>
  <si>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</si>
  <si>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</si>
  <si>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</si>
  <si>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</si>
  <si>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</si>
  <si>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</si>
  <si>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</si>
  <si>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</si>
  <si>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</si>
  <si>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</si>
  <si>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</si>
  <si>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</si>
  <si>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</si>
  <si>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</si>
  <si>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</si>
  <si>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</si>
  <si>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</si>
  <si>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</si>
  <si>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</si>
  <si>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</si>
  <si>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</si>
  <si>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</si>
  <si>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</si>
  <si>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</si>
  <si>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</si>
  <si>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</si>
  <si>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</si>
  <si>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</si>
  <si>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</si>
  <si>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</si>
  <si>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</si>
  <si>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</si>
  <si>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</si>
  <si>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</si>
  <si>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</si>
  <si>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</si>
  <si>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</si>
  <si>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</si>
  <si>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</si>
  <si>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</si>
  <si>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</si>
  <si>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</si>
  <si>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</si>
  <si>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</si>
  <si>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</si>
  <si>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</si>
  <si>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</si>
  <si>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</si>
  <si>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</si>
  <si>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</si>
  <si>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</si>
  <si>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</si>
  <si>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</si>
  <si>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</si>
  <si>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</si>
  <si>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</si>
  <si>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</si>
  <si>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</si>
  <si>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</si>
  <si>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</si>
  <si>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</si>
  <si>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</si>
  <si>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</si>
  <si>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</si>
  <si>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</si>
  <si>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</si>
  <si>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</si>
  <si>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</si>
  <si>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</si>
  <si>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</si>
  <si>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</si>
  <si>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</si>
  <si>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</si>
  <si>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</si>
  <si>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</si>
  <si>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</si>
  <si>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</si>
  <si>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</si>
  <si>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</si>
  <si>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</si>
  <si>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</si>
  <si>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</si>
  <si>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</si>
  <si>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</si>
  <si>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</si>
  <si>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</si>
  <si>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</si>
  <si>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</si>
  <si>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</si>
  <si>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</si>
  <si>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</si>
  <si>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</si>
  <si>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</si>
  <si>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</si>
  <si>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</si>
  <si>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</si>
  <si>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</si>
  <si>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</si>
  <si>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</si>
  <si>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</si>
  <si>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</si>
  <si>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</si>
  <si>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</si>
  <si>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</si>
  <si>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</si>
  <si>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</si>
  <si>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</si>
  <si>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</si>
  <si>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</si>
  <si>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</si>
  <si>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</si>
  <si>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</si>
  <si>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</si>
  <si>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</si>
  <si>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</si>
  <si>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</si>
  <si>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</si>
  <si>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</si>
  <si>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</si>
  <si>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</si>
  <si>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</si>
  <si>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</si>
  <si>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</si>
  <si>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</si>
  <si>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</si>
  <si>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</si>
  <si>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</si>
  <si>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</si>
  <si>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</si>
  <si>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</si>
  <si>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</si>
  <si>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</si>
  <si>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</si>
  <si>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</si>
  <si>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</si>
  <si>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</si>
  <si>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</si>
  <si>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</si>
  <si>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</si>
  <si>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</si>
  <si>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</si>
  <si>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</si>
  <si>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</si>
  <si>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</si>
  <si>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</si>
  <si>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</si>
  <si>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</si>
  <si>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</si>
  <si>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</si>
  <si>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</si>
  <si>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</si>
  <si>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</si>
  <si>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</si>
  <si>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</si>
  <si>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</si>
  <si>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</si>
  <si>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</si>
  <si>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</si>
  <si>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</si>
  <si>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</si>
  <si>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</si>
  <si>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</si>
  <si>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</si>
  <si>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</si>
  <si>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</si>
  <si>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</si>
  <si>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</si>
  <si>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</si>
  <si>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</si>
  <si>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</si>
  <si>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</si>
  <si>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</si>
  <si>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</si>
  <si>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</si>
  <si>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</si>
  <si>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</si>
  <si>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</si>
  <si>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</si>
  <si>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</si>
  <si>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</si>
  <si>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</si>
  <si>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</si>
  <si>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</si>
  <si>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</si>
  <si>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</si>
  <si>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</si>
  <si>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</si>
  <si>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</si>
  <si>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</si>
  <si>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</si>
  <si>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</si>
  <si>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</si>
  <si>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</si>
  <si>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</si>
  <si>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</si>
  <si>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</si>
  <si>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</si>
  <si>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</si>
  <si>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</si>
  <si>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</si>
  <si>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</si>
  <si>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</si>
  <si>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</si>
  <si>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</si>
  <si>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</si>
  <si>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</si>
  <si>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</si>
  <si>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</si>
  <si>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</si>
  <si>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</si>
  <si>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</si>
  <si>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</si>
  <si>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</si>
  <si>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</si>
  <si>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</si>
  <si>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</si>
  <si>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</si>
  <si>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</si>
  <si>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</si>
  <si>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</si>
  <si>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</si>
  <si>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</si>
  <si>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</si>
  <si>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</si>
  <si>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</si>
  <si>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</si>
  <si>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</si>
  <si>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</si>
  <si>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</si>
  <si>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</si>
  <si>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</si>
  <si>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</si>
  <si>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</si>
  <si>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</si>
  <si>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</si>
  <si>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</si>
  <si>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</si>
  <si>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</si>
  <si>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</si>
  <si>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</si>
  <si>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</si>
  <si>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</si>
  <si>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</si>
  <si>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</si>
  <si>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</si>
  <si>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</si>
  <si>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</si>
  <si>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</si>
  <si>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</si>
  <si>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</si>
  <si>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</si>
  <si>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</si>
  <si>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</si>
  <si>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</si>
  <si>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</si>
  <si>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</si>
  <si>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</si>
  <si>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</si>
  <si>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</si>
  <si>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</si>
  <si>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</si>
  <si>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</si>
  <si>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</si>
  <si>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</si>
  <si>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</si>
  <si>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</si>
  <si>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</si>
  <si>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</si>
  <si>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</si>
  <si>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</si>
  <si>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</si>
  <si>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</si>
  <si>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</si>
  <si>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</si>
  <si>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</si>
  <si>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</si>
  <si>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</si>
  <si>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</si>
  <si>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</si>
  <si>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</si>
  <si>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</si>
  <si>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</si>
  <si>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</si>
  <si>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</si>
  <si>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</si>
  <si>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</si>
  <si>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</si>
  <si>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</si>
  <si>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</si>
  <si>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</si>
  <si>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</si>
  <si>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</si>
  <si>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</si>
  <si>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</si>
  <si>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</si>
  <si>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</si>
  <si>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</si>
  <si>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</si>
  <si>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</si>
  <si>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</si>
  <si>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</si>
  <si>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</si>
  <si>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</si>
  <si>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</si>
  <si>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</si>
  <si>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</si>
  <si>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</si>
  <si>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</si>
  <si>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</si>
  <si>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</si>
  <si>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</si>
  <si>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</si>
  <si>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</si>
  <si>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</si>
  <si>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</si>
  <si>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</si>
  <si>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</si>
  <si>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</si>
  <si>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</si>
  <si>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</si>
  <si>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</si>
  <si>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</si>
  <si>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</si>
  <si>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</si>
  <si>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</si>
  <si>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</si>
  <si>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</si>
  <si>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</si>
  <si>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</si>
  <si>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</si>
  <si>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</si>
  <si>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</si>
  <si>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</si>
  <si>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</si>
  <si>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</si>
  <si>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</si>
  <si>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</si>
  <si>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</si>
  <si>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</si>
  <si>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</si>
  <si>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</si>
  <si>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</si>
  <si>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</si>
  <si>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</si>
  <si>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</si>
  <si>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</si>
  <si>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</si>
  <si>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</si>
  <si>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</si>
  <si>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</si>
  <si>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</si>
  <si>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</si>
  <si>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</si>
  <si>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</si>
  <si>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</si>
  <si>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</si>
  <si>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</si>
  <si>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</si>
  <si>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</si>
  <si>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</si>
  <si>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</si>
  <si>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</si>
  <si>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</si>
  <si>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</si>
  <si>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</si>
  <si>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</si>
  <si>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</si>
  <si>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</si>
  <si>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</si>
  <si>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</si>
  <si>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</si>
  <si>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</si>
  <si>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</si>
  <si>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</si>
  <si>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</si>
  <si>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</si>
  <si>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</si>
  <si>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</si>
  <si>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</si>
  <si>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</si>
  <si>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</si>
  <si>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</si>
  <si>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</si>
  <si>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</si>
  <si>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</si>
  <si>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</si>
  <si>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</si>
  <si>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</si>
  <si>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</si>
  <si>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</si>
  <si>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</si>
  <si>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</si>
  <si>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</si>
  <si>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</si>
  <si>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</si>
  <si>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</si>
  <si>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</si>
  <si>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</si>
  <si>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</si>
  <si>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</si>
  <si>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</si>
  <si>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</si>
  <si>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</si>
  <si>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</si>
  <si>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</si>
  <si>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</si>
  <si>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</si>
  <si>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</si>
  <si>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</si>
  <si>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</si>
  <si>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</si>
  <si>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</si>
  <si>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</si>
  <si>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</si>
  <si>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</si>
  <si>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</si>
  <si>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</si>
  <si>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</si>
  <si>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</si>
  <si>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</si>
  <si>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</si>
  <si>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</si>
  <si>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</si>
  <si>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</si>
  <si>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</si>
  <si>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</si>
  <si>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</si>
  <si>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</si>
  <si>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</si>
  <si>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</si>
  <si>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</si>
  <si>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</si>
  <si>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</si>
  <si>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</si>
  <si>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</si>
  <si>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</si>
  <si>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</si>
  <si>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</si>
  <si>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</si>
  <si>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</si>
  <si>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</si>
  <si>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</si>
  <si>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</si>
  <si>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</si>
  <si>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</si>
  <si>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</si>
  <si>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</si>
  <si>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</si>
  <si>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</si>
  <si>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</si>
  <si>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</si>
  <si>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</si>
  <si>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</si>
  <si>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</si>
  <si>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</si>
  <si>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</si>
  <si>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</si>
  <si>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</si>
  <si>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</si>
  <si>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</si>
  <si>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</si>
  <si>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</si>
  <si>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</si>
  <si>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</si>
  <si>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</si>
  <si>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</si>
  <si>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</si>
  <si>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</si>
  <si>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</si>
  <si>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</si>
  <si>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</si>
  <si>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</si>
  <si>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</si>
  <si>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</si>
  <si>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</si>
  <si>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</si>
  <si>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</si>
  <si>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</si>
  <si>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</si>
  <si>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</si>
  <si>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</si>
  <si>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</si>
  <si>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</si>
  <si>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</si>
  <si>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</si>
  <si>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</si>
  <si>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</si>
  <si>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</si>
  <si>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</si>
  <si>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</si>
  <si>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</si>
  <si>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</si>
  <si>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</si>
  <si>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</si>
  <si>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</si>
  <si>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</si>
  <si>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</si>
  <si>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</si>
  <si>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</si>
  <si>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</si>
  <si>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</si>
  <si>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</si>
  <si>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</si>
  <si>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</si>
  <si>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</si>
  <si>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</si>
  <si>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</si>
  <si>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</si>
  <si>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</si>
  <si>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</si>
  <si>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</si>
  <si>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</si>
  <si>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</si>
  <si>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</si>
  <si>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</si>
  <si>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</si>
  <si>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</si>
  <si>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</si>
  <si>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</si>
  <si>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</si>
  <si>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</si>
  <si>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</si>
  <si>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</si>
  <si>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</si>
  <si>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</si>
  <si>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</si>
  <si>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</si>
  <si>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</si>
  <si>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</si>
  <si>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</si>
  <si>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</si>
  <si>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</si>
  <si>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</si>
  <si>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</si>
  <si>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</si>
  <si>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</si>
  <si>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</si>
  <si>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</si>
  <si>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</si>
  <si>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</si>
  <si>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</si>
  <si>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</si>
  <si>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</si>
  <si>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</si>
  <si>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</si>
  <si>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</si>
  <si>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</si>
  <si>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</si>
  <si>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</si>
  <si>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</si>
  <si>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</si>
  <si>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</si>
  <si>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</si>
  <si>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</si>
  <si>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</si>
  <si>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</si>
  <si>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</si>
  <si>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</si>
  <si>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</si>
  <si>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</si>
  <si>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</si>
  <si>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</si>
  <si>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</si>
  <si>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</si>
  <si>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</si>
  <si>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</si>
  <si>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</si>
  <si>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</si>
  <si>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</si>
  <si>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</si>
  <si>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</si>
  <si>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</si>
  <si>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</si>
  <si>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</si>
  <si>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</si>
  <si>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</si>
  <si>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</si>
  <si>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</si>
  <si>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</si>
  <si>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</si>
  <si>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</si>
  <si>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</si>
  <si>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</si>
  <si>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</si>
  <si>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</si>
  <si>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</si>
  <si>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</si>
  <si>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</si>
  <si>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</si>
  <si>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</si>
  <si>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</si>
  <si>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</si>
  <si>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</si>
  <si>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</si>
  <si>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</si>
  <si>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</si>
  <si>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</si>
  <si>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</si>
  <si>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</si>
  <si>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</si>
  <si>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</si>
  <si>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</si>
  <si>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</si>
  <si>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</si>
  <si>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</si>
  <si>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</si>
  <si>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</si>
  <si>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</si>
  <si>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</si>
  <si>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</si>
  <si>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</si>
  <si>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</si>
  <si>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</si>
  <si>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</si>
  <si>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</si>
  <si>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</si>
  <si>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</si>
  <si>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</si>
  <si>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</si>
  <si>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</si>
  <si>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</si>
  <si>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</si>
  <si>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</si>
  <si>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</si>
  <si>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</si>
  <si>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</si>
  <si>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</si>
  <si>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</si>
  <si>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</si>
  <si>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</si>
  <si>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</si>
  <si>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</si>
  <si>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</si>
  <si>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</si>
  <si>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</si>
  <si>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</si>
  <si>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</si>
  <si>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</si>
  <si>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</si>
  <si>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</si>
  <si>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</si>
  <si>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</si>
  <si>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</si>
  <si>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</si>
  <si>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</si>
  <si>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</si>
  <si>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</si>
  <si>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</si>
  <si>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</si>
  <si>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</si>
  <si>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</si>
  <si>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</si>
  <si>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</si>
  <si>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</si>
  <si>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</si>
  <si>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</si>
  <si>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</si>
  <si>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</si>
  <si>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</si>
  <si>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</si>
  <si>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</si>
  <si>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</si>
  <si>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</si>
  <si>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</si>
  <si>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</si>
  <si>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</si>
  <si>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</si>
  <si>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</si>
  <si>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</si>
  <si>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</si>
  <si>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</si>
  <si>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</si>
  <si>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</si>
  <si>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</si>
  <si>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</si>
  <si>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</si>
  <si>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</si>
  <si>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</si>
  <si>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</si>
  <si>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</si>
  <si>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</si>
  <si>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</si>
  <si>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</si>
  <si>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</si>
  <si>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</si>
  <si>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</si>
  <si>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</si>
  <si>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</si>
  <si>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</si>
  <si>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</si>
  <si>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</si>
  <si>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</si>
  <si>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</si>
  <si>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</si>
  <si>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</si>
  <si>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</si>
  <si>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</si>
  <si>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</si>
  <si>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</si>
  <si>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</si>
  <si>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</si>
  <si>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</si>
  <si>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</si>
  <si>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</si>
  <si>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</si>
  <si>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</si>
  <si>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</si>
  <si>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</si>
  <si>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</si>
  <si>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</si>
  <si>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</si>
  <si>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</si>
  <si>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</si>
  <si>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</si>
  <si>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</si>
  <si>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</si>
  <si>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</si>
  <si>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</si>
  <si>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</si>
  <si>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</si>
  <si>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</si>
  <si>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</si>
  <si>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</si>
  <si>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</si>
  <si>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</si>
  <si>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</si>
  <si>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</si>
  <si>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</si>
  <si>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</si>
  <si>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</si>
  <si>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</si>
  <si>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</si>
  <si>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</si>
  <si>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</si>
  <si>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</si>
  <si>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</si>
  <si>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</si>
  <si>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</si>
  <si>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</si>
  <si>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</si>
  <si>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</si>
  <si>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</si>
  <si>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</si>
  <si>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</si>
  <si>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</si>
  <si>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</si>
  <si>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</si>
  <si>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</si>
  <si>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</si>
  <si>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</si>
  <si>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</si>
  <si>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</si>
  <si>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</si>
  <si>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</si>
  <si>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</si>
  <si>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</si>
  <si>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</si>
  <si>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</si>
  <si>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</si>
  <si>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</si>
  <si>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</si>
  <si>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</si>
  <si>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</si>
  <si>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</si>
  <si>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</si>
  <si>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</si>
  <si>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</si>
  <si>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</si>
  <si>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</si>
  <si>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</si>
  <si>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</si>
  <si>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</si>
  <si>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</si>
  <si>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</si>
  <si>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</si>
  <si>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</si>
  <si>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</si>
  <si>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</si>
  <si>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</si>
  <si>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</si>
  <si>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</si>
  <si>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</si>
  <si>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</si>
  <si>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</si>
  <si>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</si>
  <si>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</si>
  <si>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</si>
  <si>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</si>
  <si>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</si>
  <si>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</si>
  <si>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</si>
  <si>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</si>
  <si>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</si>
  <si>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</si>
  <si>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</si>
  <si>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</si>
  <si>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</si>
  <si>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</si>
  <si>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</si>
  <si>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</si>
  <si>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</si>
  <si>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</si>
  <si>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</si>
  <si>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</si>
  <si>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</si>
  <si>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</si>
  <si>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</si>
  <si>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</si>
  <si>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</si>
  <si>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</si>
  <si>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</si>
  <si>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</si>
  <si>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</si>
  <si>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</si>
  <si>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</si>
  <si>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</si>
  <si>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</si>
  <si>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</si>
  <si>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</si>
  <si>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</si>
  <si>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</si>
  <si>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</si>
  <si>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</si>
  <si>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</si>
  <si>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</si>
  <si>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</si>
  <si>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</si>
  <si>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</si>
  <si>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</si>
  <si>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</si>
  <si>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</si>
  <si>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</si>
  <si>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</si>
  <si>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</si>
  <si>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</si>
  <si>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</si>
  <si>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</si>
  <si>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</si>
  <si>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</si>
  <si>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</si>
  <si>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</si>
  <si>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</si>
  <si>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</si>
  <si>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</si>
  <si>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</si>
  <si>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</si>
  <si>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</si>
  <si>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</si>
  <si>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</si>
  <si>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</si>
  <si>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</si>
  <si>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</si>
  <si>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</si>
  <si>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</si>
  <si>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</si>
  <si>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</si>
  <si>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</si>
  <si>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</si>
  <si>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</si>
  <si>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</si>
  <si>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</si>
  <si>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</si>
  <si>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</si>
  <si>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</si>
  <si>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</si>
  <si>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</si>
  <si>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</si>
  <si>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</si>
  <si>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</si>
  <si>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</si>
  <si>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</si>
  <si>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</si>
  <si>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</si>
  <si>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</si>
  <si>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</si>
  <si>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</si>
  <si>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</si>
  <si>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</si>
  <si>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</si>
  <si>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</si>
  <si>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</si>
  <si>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</si>
  <si>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</si>
  <si>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</si>
  <si>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</si>
  <si>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</si>
  <si>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</si>
  <si>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</si>
  <si>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</si>
  <si>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</si>
  <si>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</si>
  <si>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</si>
  <si>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</si>
  <si>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</si>
  <si>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</si>
  <si>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</si>
  <si>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</si>
  <si>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</si>
  <si>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</si>
  <si>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</si>
  <si>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</si>
  <si>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</si>
  <si>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</si>
  <si>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</si>
  <si>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</si>
  <si>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</si>
  <si>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</si>
  <si>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</si>
  <si>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</si>
  <si>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</si>
  <si>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</si>
  <si>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</si>
  <si>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</si>
  <si>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</si>
  <si>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</si>
  <si>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</si>
  <si>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</si>
  <si>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</si>
  <si>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</si>
  <si>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</si>
  <si>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</si>
  <si>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</si>
  <si>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</si>
  <si>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</si>
  <si>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</si>
  <si>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</si>
  <si>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</si>
  <si>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</si>
  <si>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</si>
  <si>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</si>
  <si>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</si>
  <si>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</si>
  <si>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</si>
  <si>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</si>
  <si>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</si>
  <si>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</si>
  <si>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</si>
  <si>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</si>
  <si>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</si>
  <si>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</si>
  <si>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</si>
  <si>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</si>
  <si>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</si>
  <si>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</si>
  <si>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</si>
  <si>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</si>
  <si>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</si>
  <si>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</si>
  <si>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</si>
  <si>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</si>
  <si>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</si>
  <si>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</si>
  <si>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</si>
  <si>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</si>
  <si>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</si>
  <si>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</si>
  <si>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</si>
  <si>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</si>
  <si>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</si>
  <si>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</si>
  <si>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</si>
  <si>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</si>
  <si>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</si>
  <si>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</si>
  <si>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</si>
  <si>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</si>
  <si>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</si>
  <si>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</si>
  <si>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</si>
  <si>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</si>
  <si>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</si>
  <si>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</si>
  <si>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</si>
  <si>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</si>
  <si>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</si>
  <si>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</si>
  <si>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</si>
  <si>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</si>
  <si>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ANDALUCIA</t>
  </si>
  <si>
    <t>Provincias</t>
  </si>
  <si>
    <t>MALAGA</t>
  </si>
  <si>
    <t>Resumenes por Partidos Judiciales</t>
  </si>
  <si>
    <t>ARCHIDONA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</si>
</sst>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1167</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95xijUMklq/fSUc1p32JbtNdZI3X6ZEGBj4G1MHMwDC1oWbN2SJhVJPyjsnb5PJI2Vevk70tvmWFcUP1iiY6Cw==" saltValue="zhhuyIuPc/YdAvraW6d2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ANDALUCIA</v>
      </c>
      <c r="C2" s="437"/>
      <c r="D2" s="437"/>
      <c r="E2" s="437"/>
      <c r="F2" s="437"/>
    </row>
    <row r="3" spans="1:14" ht="19.5">
      <c r="A3" s="439" t="s">
        <v>162</v>
      </c>
      <c r="B3" s="440" t="str">
        <f>Criterios!A10 &amp;"  "&amp;Criterios!B10</f>
        <v>Provincias  MALAGA</v>
      </c>
      <c r="D3" s="437"/>
      <c r="E3" s="437"/>
      <c r="F3" s="437"/>
    </row>
    <row r="4" spans="1:14" ht="13.5" thickBot="1">
      <c r="A4" s="437"/>
      <c r="B4" s="440" t="str">
        <f>Criterios!A11 &amp;"  "&amp;Criterios!B11</f>
        <v>Resumenes por Partidos Judiciales  ARCHIDONA</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0</v>
      </c>
      <c r="C9" s="452" t="str">
        <f>IF(ISNUMBER(IF(J_V="SI",Datos!I9,Datos!I9+Datos!Y9)),IF(J_V="SI",Datos!I9,Datos!I9+Datos!Y9)," - ")</f>
        <v xml:space="preserve"> - </v>
      </c>
      <c r="D9" s="453" t="str">
        <f>IF(ISNUMBER(C9/Datos!BH9),C9/Datos!BH9," - ")</f>
        <v xml:space="preserve"> - </v>
      </c>
      <c r="E9" s="452" t="str">
        <f>IF(ISNUMBER(IF(J_V="SI",Datos!J9,Datos!J9+Datos!Z9)),IF(J_V="SI",Datos!J9,Datos!J9+Datos!Z9)," - ")</f>
        <v xml:space="preserve"> - </v>
      </c>
      <c r="F9" s="453" t="str">
        <f>IF(ISNUMBER(E9/B9),E9/B9," - ")</f>
        <v xml:space="preserve"> - </v>
      </c>
      <c r="G9" s="452" t="str">
        <f>IF(ISNUMBER(IF(J_V="SI",Datos!K9,Datos!K9+Datos!AA9)),IF(J_V="SI",Datos!K9,Datos!K9+Datos!AA9)," - ")</f>
        <v xml:space="preserve"> - </v>
      </c>
      <c r="H9" s="453" t="str">
        <f>IF(ISNUMBER(G9/B9),G9/B9," - ")</f>
        <v xml:space="preserve"> - </v>
      </c>
      <c r="I9" s="452" t="str">
        <f>IF(ISNUMBER(IF(J_V="SI",Datos!L9,Datos!L9+Datos!AB9)),IF(J_V="SI",Datos!L9,Datos!L9+Datos!AB9)," - ")</f>
        <v xml:space="preserve"> - </v>
      </c>
      <c r="J9" s="453" t="str">
        <f>IF(ISNUMBER(I9/B9),I9/B9," - ")</f>
        <v xml:space="preserve"> - </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1</v>
      </c>
      <c r="C10" s="452">
        <f>IF(ISNUMBER(Datos!I10),Datos!I10," - ")</f>
        <v>1</v>
      </c>
      <c r="D10" s="453">
        <f>IF(ISNUMBER(C10/Datos!BH10),C10/Datos!BH10," - ")</f>
        <v>1</v>
      </c>
      <c r="E10" s="452">
        <f>IF(ISNUMBER(Datos!J10),Datos!J10," - ")</f>
        <v>4</v>
      </c>
      <c r="F10" s="453">
        <f>IF(ISNUMBER(E10/B10),E10/B10," - ")</f>
        <v>4</v>
      </c>
      <c r="G10" s="452">
        <f>IF(ISNUMBER(Datos!K10),Datos!K10," - ")</f>
        <v>2</v>
      </c>
      <c r="H10" s="453">
        <f>IF(ISNUMBER(G10/B10),G10/B10," - ")</f>
        <v>2</v>
      </c>
      <c r="I10" s="452">
        <f>IF(ISNUMBER(Datos!L10),Datos!L10," - ")</f>
        <v>3</v>
      </c>
      <c r="J10" s="453">
        <f>IF(ISNUMBER(I10/B10),I10/B10," - ")</f>
        <v>3</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0</v>
      </c>
      <c r="C11" s="452" t="str">
        <f>IF(ISNUMBER(IF(J_V="SI",Datos!I11,Datos!I11+Datos!Y11)),IF(J_V="SI",Datos!I11,Datos!I11+Datos!Y11)," - ")</f>
        <v xml:space="preserve"> - </v>
      </c>
      <c r="D11" s="453" t="str">
        <f>IF(ISNUMBER(C11/Datos!BH11),C11/Datos!BH11," - ")</f>
        <v xml:space="preserve"> - </v>
      </c>
      <c r="E11" s="452" t="str">
        <f>IF(ISNUMBER(IF(J_V="SI",Datos!J11,Datos!J11+Datos!Z11)),IF(J_V="SI",Datos!J11,Datos!J11+Datos!Z11)," - ")</f>
        <v xml:space="preserve"> - </v>
      </c>
      <c r="F11" s="453" t="str">
        <f>IF(ISNUMBER(E11/B11),E11/B11," - ")</f>
        <v xml:space="preserve"> - </v>
      </c>
      <c r="G11" s="452" t="str">
        <f>IF(ISNUMBER(IF(J_V="SI",Datos!K11,Datos!K11+Datos!AA11)),IF(J_V="SI",Datos!K11,Datos!K11+Datos!AA11)," - ")</f>
        <v xml:space="preserve"> - </v>
      </c>
      <c r="H11" s="453" t="str">
        <f>IF(ISNUMBER(G11/B11),G11/B11," - ")</f>
        <v xml:space="preserve"> - </v>
      </c>
      <c r="I11" s="452" t="str">
        <f>IF(ISNUMBER(IF(J_V="SI",Datos!L11,Datos!L11+Datos!AB11)),IF(J_V="SI",Datos!L11,Datos!L11+Datos!AB11)," - ")</f>
        <v xml:space="preserve"> - </v>
      </c>
      <c r="J11" s="453" t="str">
        <f>IF(ISNUMBER(I11/B11),I11/B11," - ")</f>
        <v xml:space="preserve"> - </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1</v>
      </c>
      <c r="C12" s="452">
        <f>IF(ISNUMBER(IF(J_V="SI",Datos!I12,Datos!I12+Datos!Y12)),IF(J_V="SI",Datos!I12,Datos!I12+Datos!Y12)," - ")</f>
        <v>612</v>
      </c>
      <c r="D12" s="453">
        <f>IF(ISNUMBER(C12/Datos!BH12),C12/Datos!BH12," - ")</f>
        <v>612</v>
      </c>
      <c r="E12" s="452">
        <f>IF(ISNUMBER(IF(J_V="SI",Datos!J12,Datos!J12+Datos!Z12)),IF(J_V="SI",Datos!J12,Datos!J12+Datos!Z12)," - ")</f>
        <v>666</v>
      </c>
      <c r="F12" s="453">
        <f>IF(ISNUMBER(E12/B12),E12/B12," - ")</f>
        <v>666</v>
      </c>
      <c r="G12" s="452">
        <f>IF(ISNUMBER(IF(J_V="SI",Datos!K12,Datos!K12+Datos!AA12)),IF(J_V="SI",Datos!K12,Datos!K12+Datos!AA12)," - ")</f>
        <v>646</v>
      </c>
      <c r="H12" s="453">
        <f>IF(ISNUMBER(G12/B12),G12/B12," - ")</f>
        <v>646</v>
      </c>
      <c r="I12" s="452">
        <f>IF(ISNUMBER(IF(J_V="SI",Datos!L12,Datos!L12+Datos!AB12)),IF(J_V="SI",Datos!L12,Datos!L12+Datos!AB12)," - ")</f>
        <v>632</v>
      </c>
      <c r="J12" s="453">
        <f>IF(ISNUMBER(I12/B12),I12/B12," - ")</f>
        <v>632</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1</v>
      </c>
      <c r="C14" s="1149">
        <f>SUBTOTAL(9,C8:C13)</f>
        <v>613</v>
      </c>
      <c r="D14" s="1150" t="str">
        <f>IF(ISNUMBER(C14/Datos!BI14),C14/Datos!BI14," - ")</f>
        <v xml:space="preserve"> - </v>
      </c>
      <c r="E14" s="1149">
        <f>SUBTOTAL(9,E8:E13)</f>
        <v>670</v>
      </c>
      <c r="F14" s="1150">
        <f>IF(ISNUMBER(E14/B14),E14/B14," - ")</f>
        <v>670</v>
      </c>
      <c r="G14" s="1149">
        <f>SUBTOTAL(9,G8:G13)</f>
        <v>648</v>
      </c>
      <c r="H14" s="1150">
        <f>IF(ISNUMBER(G14/B14),G14/B14," - ")</f>
        <v>648</v>
      </c>
      <c r="I14" s="1149">
        <f>SUBTOTAL(9,I8:I13)</f>
        <v>635</v>
      </c>
      <c r="J14" s="1150">
        <f>IF(ISNUMBER(I14/B14),I14/B14," - ")</f>
        <v>635</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0</v>
      </c>
      <c r="C16" s="452" t="str">
        <f>IF(ISNUMBER(IF(D_I="SI",Datos!I16,Datos!I16+Datos!AC16)),IF(D_I="SI",Datos!I16,Datos!I16+Datos!AC16)," - ")</f>
        <v xml:space="preserve"> - </v>
      </c>
      <c r="D16" s="453" t="str">
        <f>IF(ISNUMBER(C16/Datos!BH16),C16/Datos!BH16," - ")</f>
        <v xml:space="preserve"> - </v>
      </c>
      <c r="E16" s="452" t="str">
        <f>IF(ISNUMBER(IF(D_I="SI",Datos!J16,Datos!J16+Datos!AD16)),IF(D_I="SI",Datos!J16,Datos!J16+Datos!AD16)," - ")</f>
        <v xml:space="preserve"> - </v>
      </c>
      <c r="F16" s="453" t="str">
        <f>IF(ISNUMBER(E16/B16),E16/B16," - ")</f>
        <v xml:space="preserve"> - </v>
      </c>
      <c r="G16" s="452" t="str">
        <f>IF(ISNUMBER(IF(D_I="SI",Datos!K16,Datos!K16+Datos!AE16)),IF(D_I="SI",Datos!K16,Datos!K16+Datos!AE16)," - ")</f>
        <v xml:space="preserve"> - </v>
      </c>
      <c r="H16" s="453" t="str">
        <f>IF(ISNUMBER(G16/B16),G16/B16," - ")</f>
        <v xml:space="preserve"> - </v>
      </c>
      <c r="I16" s="452" t="str">
        <f>IF(ISNUMBER(IF(D_I="SI",Datos!L16,Datos!L16+Datos!AF16)),IF(D_I="SI",Datos!L16,Datos!L16+Datos!AF16)," - ")</f>
        <v xml:space="preserve"> - </v>
      </c>
      <c r="J16" s="453" t="str">
        <f>IF(ISNUMBER(I16/B16),I16/B16," - ")</f>
        <v xml:space="preserve"> - </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1</v>
      </c>
      <c r="C17" s="452">
        <f>IF(ISNUMBER(IF(D_I="SI",Datos!I17,Datos!I17+Datos!AC17)),IF(D_I="SI",Datos!I17,Datos!I17+Datos!AC17)," - ")</f>
        <v>181</v>
      </c>
      <c r="D17" s="453">
        <f>IF(ISNUMBER(C17/Datos!BH17),C17/Datos!BH17," - ")</f>
        <v>181</v>
      </c>
      <c r="E17" s="452">
        <f>IF(ISNUMBER(IF(D_I="SI",Datos!J17,Datos!J17+Datos!AD17)),IF(D_I="SI",Datos!J17,Datos!J17+Datos!AD17)," - ")</f>
        <v>888</v>
      </c>
      <c r="F17" s="453">
        <f>IF(ISNUMBER(E17/B17),E17/B17," - ")</f>
        <v>888</v>
      </c>
      <c r="G17" s="452">
        <f>IF(ISNUMBER(IF(D_I="SI",Datos!K17,Datos!K17+Datos!AE17)),IF(D_I="SI",Datos!K17,Datos!K17+Datos!AE17)," - ")</f>
        <v>895</v>
      </c>
      <c r="H17" s="453">
        <f>IF(ISNUMBER(G17/B17),G17/B17," - ")</f>
        <v>895</v>
      </c>
      <c r="I17" s="452">
        <f>IF(ISNUMBER(IF(D_I="SI",Datos!L17,Datos!L17+Datos!AF17)),IF(D_I="SI",Datos!L17,Datos!L17+Datos!AF17)," - ")</f>
        <v>174</v>
      </c>
      <c r="J17" s="453">
        <f>IF(ISNUMBER(I17/B17),I17/B17," - ")</f>
        <v>174</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1</v>
      </c>
      <c r="C18" s="452">
        <f>IF(ISNUMBER(IF(D_I="SI",Datos!I18,Datos!I18+Datos!AC18)),IF(D_I="SI",Datos!I18,Datos!I18+Datos!AC18)," - ")</f>
        <v>6</v>
      </c>
      <c r="D18" s="453">
        <f>IF(ISNUMBER(C18/Datos!BH18),C18/Datos!BH18," - ")</f>
        <v>6</v>
      </c>
      <c r="E18" s="452">
        <f>IF(ISNUMBER(IF(D_I="SI",Datos!J18,Datos!J18+Datos!AD18)),IF(D_I="SI",Datos!J18,Datos!J18+Datos!AD18)," - ")</f>
        <v>81</v>
      </c>
      <c r="F18" s="453">
        <f>IF(ISNUMBER(E18/B18),E18/B18," - ")</f>
        <v>81</v>
      </c>
      <c r="G18" s="452">
        <f>IF(ISNUMBER(IF(D_I="SI",Datos!K18,Datos!K18+Datos!AE18)),IF(D_I="SI",Datos!K18,Datos!K18+Datos!AE18)," - ")</f>
        <v>75</v>
      </c>
      <c r="H18" s="453">
        <f>IF(ISNUMBER(G18/B18),G18/B18," - ")</f>
        <v>75</v>
      </c>
      <c r="I18" s="452">
        <f>IF(ISNUMBER(IF(D_I="SI",Datos!L18,Datos!L18+Datos!AF18)),IF(D_I="SI",Datos!L18,Datos!L18+Datos!AF18)," - ")</f>
        <v>12</v>
      </c>
      <c r="J18" s="453">
        <f>IF(ISNUMBER(I18/B18),I18/B18," - ")</f>
        <v>12</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1</v>
      </c>
      <c r="C23" s="1149">
        <f>SUBTOTAL(9,C15:C22)</f>
        <v>187</v>
      </c>
      <c r="D23" s="1150" t="str">
        <f>IF(ISNUMBER(C23/Datos!BI23),C23/Datos!BI23," - ")</f>
        <v xml:space="preserve"> - </v>
      </c>
      <c r="E23" s="1149">
        <f>SUBTOTAL(9,E15:E22)</f>
        <v>969</v>
      </c>
      <c r="F23" s="1150">
        <f>IF(ISNUMBER(E23/B23),E23/B23," - ")</f>
        <v>969</v>
      </c>
      <c r="G23" s="1149">
        <f>SUBTOTAL(9,G15:G22)</f>
        <v>970</v>
      </c>
      <c r="H23" s="1150">
        <f>IF(ISNUMBER(G23/B23),G23/B23," - ")</f>
        <v>970</v>
      </c>
      <c r="I23" s="1149">
        <f>SUBTOTAL(9,I15:I22)</f>
        <v>186</v>
      </c>
      <c r="J23" s="1150">
        <f>IF(ISNUMBER(I23/B23),I23/B23," - ")</f>
        <v>186</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1</v>
      </c>
      <c r="C31" s="1087">
        <f>SUBTOTAL(9,C9:C30)</f>
        <v>800</v>
      </c>
      <c r="D31" s="1088" t="str">
        <f>IF(ISNUMBER(C31/Datos!BI31),C31/Datos!BI31," - ")</f>
        <v xml:space="preserve"> - </v>
      </c>
      <c r="E31" s="1087">
        <f>SUBTOTAL(9,E9:E30)</f>
        <v>1639</v>
      </c>
      <c r="F31" s="1088">
        <f>IF(ISNUMBER(E31/B31),E31/B31," - ")</f>
        <v>1639</v>
      </c>
      <c r="G31" s="1087">
        <f>SUBTOTAL(9,G9:G30)</f>
        <v>1618</v>
      </c>
      <c r="H31" s="1088">
        <f>IF(ISNUMBER(G31/B31),G31/B31," - ")</f>
        <v>1618</v>
      </c>
      <c r="I31" s="1087">
        <f>SUBTOTAL(9,I9:I30)</f>
        <v>821</v>
      </c>
      <c r="J31" s="1088">
        <f>IF(ISNUMBER(I31/B31),I31/B31," - ")</f>
        <v>821</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3aN5FtZcuOV6OQpsRoEcFQWMz1nJdWcWafcJ43ChSw3qI0kiMDUpzOOyhxs3WUOcEcz42eEFihzbIgvax4CQFw==" saltValue="FK/Rap9aDk/ZJmoLqu45S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ANDALUCIA</v>
      </c>
      <c r="C2" s="437"/>
      <c r="E2" s="437"/>
      <c r="F2" s="437"/>
      <c r="G2" s="437"/>
      <c r="H2" s="437"/>
    </row>
    <row r="3" spans="1:15" ht="39">
      <c r="A3" s="464" t="s">
        <v>283</v>
      </c>
      <c r="B3" s="440" t="str">
        <f>Criterios!A10 &amp;"  "&amp;Criterios!B10</f>
        <v>Provincias  MALAGA</v>
      </c>
      <c r="C3" s="464"/>
      <c r="F3" s="437"/>
      <c r="G3" s="437"/>
      <c r="H3" s="437"/>
    </row>
    <row r="4" spans="1:15" ht="13.5" thickBot="1">
      <c r="A4" s="437"/>
      <c r="B4" s="440" t="str">
        <f>Criterios!A11 &amp;"  "&amp;Criterios!B11</f>
        <v>Resumenes por Partidos Judiciales  ARCHIDONA</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0</v>
      </c>
      <c r="D9" s="452">
        <f>Datos!BK9</f>
        <v>0</v>
      </c>
      <c r="E9" s="452">
        <f>Datos!AQ9</f>
        <v>0</v>
      </c>
      <c r="F9" s="453" t="str">
        <f>IF(ISNUMBER(E9/Datos!BH9),E9/Datos!BH9," - ")</f>
        <v xml:space="preserve"> - </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0</v>
      </c>
      <c r="D10" s="452">
        <f>Datos!BK10</f>
        <v>0</v>
      </c>
      <c r="E10" s="452">
        <f>Datos!AQ10</f>
        <v>0</v>
      </c>
      <c r="F10" s="453">
        <f>IF(ISNUMBER(E10/Datos!BH10),E10/Datos!BH10," - ")</f>
        <v>0</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0</v>
      </c>
      <c r="D11" s="452">
        <f>Datos!BK11</f>
        <v>0</v>
      </c>
      <c r="E11" s="452">
        <f>Datos!AQ11</f>
        <v>0</v>
      </c>
      <c r="F11" s="453" t="str">
        <f>IF(ISNUMBER(E11/Datos!BH11),E11/Datos!BH11," - ")</f>
        <v xml:space="preserve"> - </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1</v>
      </c>
      <c r="D12" s="452">
        <f>Datos!BK12</f>
        <v>0</v>
      </c>
      <c r="E12" s="452">
        <f>Datos!AQ12</f>
        <v>1</v>
      </c>
      <c r="F12" s="453">
        <f>IF(ISNUMBER(E12/Datos!BH12),E12/Datos!BH12," - ")</f>
        <v>1</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0</v>
      </c>
      <c r="D16" s="452">
        <f>Datos!BK16</f>
        <v>0</v>
      </c>
      <c r="E16" s="452">
        <f>Datos!AQ16</f>
        <v>0</v>
      </c>
      <c r="F16" s="453" t="str">
        <f>IF(ISNUMBER(E16/Datos!BH16),E16/Datos!BH16," - ")</f>
        <v xml:space="preserve"> - </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1</v>
      </c>
      <c r="D17" s="452">
        <f>Datos!BK17</f>
        <v>0</v>
      </c>
      <c r="E17" s="452">
        <f>Datos!AQ17</f>
        <v>1</v>
      </c>
      <c r="F17" s="453">
        <f>IF(ISNUMBER(E17/Datos!BH17),E17/Datos!BH17," - ")</f>
        <v>1</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0</v>
      </c>
      <c r="D18" s="452">
        <f>Datos!BK18</f>
        <v>0</v>
      </c>
      <c r="E18" s="452">
        <f>Datos!AQ18</f>
        <v>0</v>
      </c>
      <c r="F18" s="453">
        <f>IF(ISNUMBER(E18/Datos!BH18),E18/Datos!BH18," - ")</f>
        <v>0</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OMAJNqLMLqqWGTkT1Mn+OV9dEZvRS+zBSUL4HQjieUxm79LVRww6iQRZFkeBZvdEs3gV2bM9adX2KOn34gKkUw==" saltValue="XQhT4nTrdtFGrpWkGr0hZ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ANDALUCIA</v>
      </c>
      <c r="C2" s="476"/>
      <c r="D2" s="419"/>
    </row>
    <row r="3" spans="1:9" ht="19.5">
      <c r="A3" s="477" t="s">
        <v>16</v>
      </c>
      <c r="B3" s="478" t="str">
        <f>Criterios!A10 &amp;"  "&amp;Criterios!B10</f>
        <v>Provincias  MALAGA</v>
      </c>
      <c r="C3" s="476"/>
      <c r="D3" s="477"/>
    </row>
    <row r="4" spans="1:9" ht="13.5" thickBot="1">
      <c r="B4" s="478" t="str">
        <f>Criterios!A11 &amp;"  "&amp;Criterios!B11</f>
        <v>Resumenes por Partidos Judiciales  ARCHIDONA</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0</v>
      </c>
      <c r="C9" s="459">
        <f>Datos!AQ9</f>
        <v>0</v>
      </c>
      <c r="D9" s="452" t="str">
        <f>IF(ISNUMBER(Datos!M9),Datos!M9," - ")</f>
        <v xml:space="preserve"> - </v>
      </c>
      <c r="E9" s="453" t="str">
        <f t="shared" ref="E9:E14" si="0">IF(ISNUMBER(D9/B9),D9/B9," - ")</f>
        <v xml:space="preserve"> - </v>
      </c>
      <c r="F9" s="452" t="str">
        <f>IF(ISNUMBER(Datos!N9),Datos!N9," - ")</f>
        <v xml:space="preserve"> - </v>
      </c>
      <c r="G9" s="453" t="str">
        <f t="shared" ref="G9:G14" si="1">IF(ISNUMBER(F9/B9),F9/B9," - ")</f>
        <v xml:space="preserve"> - </v>
      </c>
      <c r="H9" s="452" t="str">
        <f>IF(ISNUMBER(Datos!O9),Datos!O9," - ")</f>
        <v xml:space="preserve"> - </v>
      </c>
      <c r="I9" s="453" t="str">
        <f>IF(ISNUMBER(H9/B9),H9/B9," - ")</f>
        <v xml:space="preserve"> - </v>
      </c>
    </row>
    <row r="10" spans="1:9">
      <c r="A10" s="451" t="str">
        <f>Datos!A10</f>
        <v>Jdos. Violencia contra la mujer</v>
      </c>
      <c r="B10" s="481">
        <f>Datos!AO10</f>
        <v>1</v>
      </c>
      <c r="C10" s="459">
        <f>Datos!AQ10</f>
        <v>0</v>
      </c>
      <c r="D10" s="452">
        <f>IF(ISNUMBER(Datos!M10),Datos!M10," - ")</f>
        <v>0</v>
      </c>
      <c r="E10" s="453">
        <f>IF(ISNUMBER(D10/B10),D10/B10," - ")</f>
        <v>0</v>
      </c>
      <c r="F10" s="452">
        <f>IF(ISNUMBER(Datos!N10),Datos!N10," - ")</f>
        <v>0</v>
      </c>
      <c r="G10" s="453">
        <f>IF(ISNUMBER(F10/B10),F10/B10," - ")</f>
        <v>0</v>
      </c>
      <c r="H10" s="452">
        <f>IF(ISNUMBER(Datos!O10),Datos!O10," - ")</f>
        <v>0</v>
      </c>
      <c r="I10" s="453">
        <f t="shared" ref="I10:I13" si="2">IF(ISNUMBER(H10/B10),H10/B10," - ")</f>
        <v>0</v>
      </c>
    </row>
    <row r="11" spans="1:9">
      <c r="A11" s="451" t="str">
        <f>Datos!A11</f>
        <v xml:space="preserve">Jdos. Familia                                   </v>
      </c>
      <c r="B11" s="481">
        <f>Datos!AO11</f>
        <v>0</v>
      </c>
      <c r="C11" s="459">
        <f>Datos!AQ11</f>
        <v>0</v>
      </c>
      <c r="D11" s="452" t="str">
        <f>IF(ISNUMBER(Datos!M11),Datos!M11," - ")</f>
        <v xml:space="preserve"> - </v>
      </c>
      <c r="E11" s="453" t="str">
        <f t="shared" si="0"/>
        <v xml:space="preserve"> - </v>
      </c>
      <c r="F11" s="452" t="str">
        <f>IF(ISNUMBER(Datos!N11),Datos!N11," - ")</f>
        <v xml:space="preserve"> - </v>
      </c>
      <c r="G11" s="453" t="str">
        <f t="shared" si="1"/>
        <v xml:space="preserve"> - </v>
      </c>
      <c r="H11" s="452" t="str">
        <f>IF(ISNUMBER(Datos!O11),Datos!O11," - ")</f>
        <v xml:space="preserve"> - </v>
      </c>
      <c r="I11" s="453" t="str">
        <f t="shared" si="2"/>
        <v xml:space="preserve"> - </v>
      </c>
    </row>
    <row r="12" spans="1:9">
      <c r="A12" s="451" t="str">
        <f>Datos!A12</f>
        <v xml:space="preserve">Jdos. 1ª Instª. e Instr.                        </v>
      </c>
      <c r="B12" s="481">
        <f>Datos!AO12</f>
        <v>1</v>
      </c>
      <c r="C12" s="459">
        <f>Datos!AQ12</f>
        <v>1</v>
      </c>
      <c r="D12" s="452">
        <f>IF(ISNUMBER(Datos!M12),Datos!M12," - ")</f>
        <v>132</v>
      </c>
      <c r="E12" s="453">
        <f t="shared" si="0"/>
        <v>132</v>
      </c>
      <c r="F12" s="452">
        <f>IF(ISNUMBER(Datos!N12),Datos!N12," - ")</f>
        <v>239</v>
      </c>
      <c r="G12" s="453">
        <f t="shared" si="1"/>
        <v>239</v>
      </c>
      <c r="H12" s="452">
        <f>IF(ISNUMBER(Datos!O12),Datos!O12," - ")</f>
        <v>381</v>
      </c>
      <c r="I12" s="453">
        <f t="shared" si="2"/>
        <v>381</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2</v>
      </c>
      <c r="C14" s="1151">
        <f>Datos!AR14</f>
        <v>1</v>
      </c>
      <c r="D14" s="1149">
        <f>SUBTOTAL(9,D9:D13)</f>
        <v>132</v>
      </c>
      <c r="E14" s="1150">
        <f t="shared" si="0"/>
        <v>66</v>
      </c>
      <c r="F14" s="1149">
        <f>SUBTOTAL(9,F9:F13)</f>
        <v>239</v>
      </c>
      <c r="G14" s="1150">
        <f t="shared" si="1"/>
        <v>119.5</v>
      </c>
      <c r="H14" s="1149">
        <f>SUBTOTAL(9,H9:H13)</f>
        <v>381</v>
      </c>
      <c r="I14" s="1150">
        <f>IF(ISNUMBER(H14/B14),H14/B14," - ")</f>
        <v>190.5</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0</v>
      </c>
      <c r="C16" s="482">
        <f>Datos!AQ16</f>
        <v>0</v>
      </c>
      <c r="D16" s="452" t="str">
        <f>IF(ISNUMBER(Datos!M16),Datos!M16," - ")</f>
        <v xml:space="preserve"> - </v>
      </c>
      <c r="E16" s="453" t="str">
        <f t="shared" ref="E16:E23" si="3">IF(ISNUMBER(D16/B16),D16/B16," - ")</f>
        <v xml:space="preserve"> - </v>
      </c>
      <c r="F16" s="452" t="str">
        <f>IF(ISNUMBER(Datos!N16),Datos!N16," - ")</f>
        <v xml:space="preserve"> - </v>
      </c>
      <c r="G16" s="453" t="str">
        <f t="shared" ref="G16:G23" si="4">IF(ISNUMBER(F16/B16),F16/B16," - ")</f>
        <v xml:space="preserve"> - </v>
      </c>
      <c r="H16" s="452" t="str">
        <f>IF(ISNUMBER(Datos!O16),Datos!O16," - ")</f>
        <v xml:space="preserve"> - </v>
      </c>
      <c r="I16" s="453" t="str">
        <f t="shared" ref="I16:I22" si="5">IF(ISNUMBER(H16/B16),H16/B16," - ")</f>
        <v xml:space="preserve"> - </v>
      </c>
    </row>
    <row r="17" spans="1:9">
      <c r="A17" s="451" t="str">
        <f>Datos!A17</f>
        <v xml:space="preserve">Jdos. 1ª Instª. e Instr.                        </v>
      </c>
      <c r="B17" s="481">
        <f>Datos!AO17</f>
        <v>1</v>
      </c>
      <c r="C17" s="482">
        <f>Datos!AQ17</f>
        <v>1</v>
      </c>
      <c r="D17" s="452">
        <f>IF(ISNUMBER(Datos!M17),Datos!M17," - ")</f>
        <v>131</v>
      </c>
      <c r="E17" s="453">
        <f t="shared" si="3"/>
        <v>131</v>
      </c>
      <c r="F17" s="452">
        <f>IF(ISNUMBER(Datos!N17),Datos!N17," - ")</f>
        <v>443</v>
      </c>
      <c r="G17" s="453">
        <f t="shared" si="4"/>
        <v>443</v>
      </c>
      <c r="H17" s="452">
        <f>IF(ISNUMBER(Datos!O17),Datos!O17," - ")</f>
        <v>13</v>
      </c>
      <c r="I17" s="453">
        <f t="shared" si="5"/>
        <v>13</v>
      </c>
    </row>
    <row r="18" spans="1:9">
      <c r="A18" s="451" t="str">
        <f>Datos!A18</f>
        <v>Jdos. Violencia contra la mujer</v>
      </c>
      <c r="B18" s="481">
        <f>Datos!AO18</f>
        <v>1</v>
      </c>
      <c r="C18" s="482">
        <f>Datos!AQ18</f>
        <v>0</v>
      </c>
      <c r="D18" s="452">
        <f>IF(ISNUMBER(Datos!M18),Datos!M18," - ")</f>
        <v>5</v>
      </c>
      <c r="E18" s="453">
        <f>IF(ISNUMBER(D18/B18),D18/B18," - ")</f>
        <v>5</v>
      </c>
      <c r="F18" s="452">
        <f>IF(ISNUMBER(Datos!N18),Datos!N18," - ")</f>
        <v>49</v>
      </c>
      <c r="G18" s="453">
        <f>IF(ISNUMBER(F18/B18),F18/B18," - ")</f>
        <v>49</v>
      </c>
      <c r="H18" s="452">
        <f>IF(ISNUMBER(Datos!O18),Datos!O18," - ")</f>
        <v>0</v>
      </c>
      <c r="I18" s="453">
        <f t="shared" si="5"/>
        <v>0</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2</v>
      </c>
      <c r="C23" s="1151">
        <f>Datos!AR23</f>
        <v>1</v>
      </c>
      <c r="D23" s="1149">
        <f>SUBTOTAL(9,D16:D22)</f>
        <v>136</v>
      </c>
      <c r="E23" s="1150">
        <f t="shared" si="3"/>
        <v>68</v>
      </c>
      <c r="F23" s="1149">
        <f>SUBTOTAL(9,F16:F22)</f>
        <v>492</v>
      </c>
      <c r="G23" s="1150">
        <f t="shared" si="4"/>
        <v>246</v>
      </c>
      <c r="H23" s="1149">
        <f>SUBTOTAL(9,H16:H22)</f>
        <v>13</v>
      </c>
      <c r="I23" s="1150">
        <f>IF(ISNUMBER(H23/B23),H23/B23," - ")</f>
        <v>6.5</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1</v>
      </c>
      <c r="C31" s="1087">
        <f>Datos!AR31</f>
        <v>1</v>
      </c>
      <c r="D31" s="1087">
        <f>SUBTOTAL(9,D8:D30)</f>
        <v>268</v>
      </c>
      <c r="E31" s="1088">
        <f>IF(ISNUMBER(D31/B31),D31/B31," - ")</f>
        <v>268</v>
      </c>
      <c r="F31" s="1087">
        <f>SUBTOTAL(9,F8:F30)</f>
        <v>731</v>
      </c>
      <c r="G31" s="1088">
        <f>IF(ISNUMBER(F31/B31),F31/B31," - ")</f>
        <v>731</v>
      </c>
      <c r="H31" s="1087">
        <f>SUBTOTAL(9,H8:H30)</f>
        <v>394</v>
      </c>
      <c r="I31" s="1088">
        <f>IF(ISNUMBER(H31/B31),H31/B31," - ")</f>
        <v>394</v>
      </c>
    </row>
    <row r="34" spans="1:1">
      <c r="A34" s="440" t="str">
        <f>Criterios!A4</f>
        <v>Fecha Informe: 05 abr. 2022</v>
      </c>
    </row>
    <row r="39" spans="1:1">
      <c r="A39" s="463"/>
    </row>
  </sheetData>
  <sheetProtection algorithmName="SHA-512" hashValue="VkWnMUOio/NllMAc5Gw+xVx5A6OmRt0YVk4ONCUzbBeBqOB5UOwB5b17FBhSpN7gLIxcqV7YO1zdrVAuj7XnxQ==" saltValue="4kd56BgZiZhpVLkf9JbE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ANDALUCIA</v>
      </c>
    </row>
    <row r="3" spans="1:4" ht="19.5">
      <c r="A3" s="485" t="s">
        <v>48</v>
      </c>
      <c r="B3" s="440" t="str">
        <f>Criterios!A10 &amp;"  "&amp;Criterios!B10</f>
        <v>Provincias  MALAGA</v>
      </c>
    </row>
    <row r="4" spans="1:4" ht="13.5" thickBot="1">
      <c r="B4" s="440" t="str">
        <f>Criterios!A11 &amp;"  "&amp;Criterios!B11</f>
        <v>Resumenes por Partidos Judiciales  ARCHIDONA</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t="str">
        <f>IF(ISNUMBER(Datos!P9),Datos!P9," - ")</f>
        <v xml:space="preserve"> - </v>
      </c>
      <c r="C9" s="490" t="str">
        <f>IF(ISNUMBER(Datos!Q9),Datos!Q9," - ")</f>
        <v xml:space="preserve"> - </v>
      </c>
      <c r="D9" s="457" t="str">
        <f>IF(ISNUMBER(Datos!R9),Datos!R9," - ")</f>
        <v xml:space="preserve"> - </v>
      </c>
    </row>
    <row r="10" spans="1:4">
      <c r="A10" s="451" t="str">
        <f>Datos!A10</f>
        <v>Jdos. Violencia contra la mujer</v>
      </c>
      <c r="B10" s="489">
        <f>IF(ISNUMBER(Datos!P10),Datos!P10," - ")</f>
        <v>0</v>
      </c>
      <c r="C10" s="490">
        <f>IF(ISNUMBER(Datos!Q10),Datos!Q10," - ")</f>
        <v>0</v>
      </c>
      <c r="D10" s="457">
        <f>IF(ISNUMBER(Datos!R10),Datos!R10," - ")</f>
        <v>0</v>
      </c>
    </row>
    <row r="11" spans="1:4">
      <c r="A11" s="451" t="str">
        <f>Datos!A11</f>
        <v xml:space="preserve">Jdos. Familia                                   </v>
      </c>
      <c r="B11" s="489" t="str">
        <f>IF(ISNUMBER(Datos!P11),Datos!P11," - ")</f>
        <v xml:space="preserve"> - </v>
      </c>
      <c r="C11" s="490" t="str">
        <f>IF(ISNUMBER(Datos!Q11),Datos!Q11," - ")</f>
        <v xml:space="preserve"> - </v>
      </c>
      <c r="D11" s="457" t="str">
        <f>IF(ISNUMBER(Datos!R11),Datos!R11," - ")</f>
        <v xml:space="preserve"> - </v>
      </c>
    </row>
    <row r="12" spans="1:4">
      <c r="A12" s="451" t="str">
        <f>Datos!A12</f>
        <v xml:space="preserve">Jdos. 1ª Instª. e Instr.                        </v>
      </c>
      <c r="B12" s="489">
        <f>IF(ISNUMBER(Datos!P12),Datos!P12," - ")</f>
        <v>150</v>
      </c>
      <c r="C12" s="490">
        <f>IF(ISNUMBER(Datos!Q12),Datos!Q12," - ")</f>
        <v>175</v>
      </c>
      <c r="D12" s="457">
        <f>IF(ISNUMBER(Datos!R12),Datos!R12," - ")</f>
        <v>904</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150</v>
      </c>
      <c r="C14" s="1153">
        <f>SUBTOTAL(9,C9:C13)</f>
        <v>175</v>
      </c>
      <c r="D14" s="1151">
        <f>SUBTOTAL(9,D9:D13)</f>
        <v>904</v>
      </c>
    </row>
    <row r="15" spans="1:4" ht="13.5" thickTop="1">
      <c r="A15" s="445" t="str">
        <f>Datos!A15</f>
        <v xml:space="preserve">Jurisdicción Penal ( 2 ):                      </v>
      </c>
      <c r="B15" s="455"/>
      <c r="C15" s="491"/>
      <c r="D15" s="457"/>
    </row>
    <row r="16" spans="1:4">
      <c r="A16" s="451" t="str">
        <f>Datos!A16</f>
        <v xml:space="preserve">Jdos. Instrucción                               </v>
      </c>
      <c r="B16" s="489" t="str">
        <f>IF(ISNUMBER(Datos!P16),Datos!P16," - ")</f>
        <v xml:space="preserve"> - </v>
      </c>
      <c r="C16" s="490" t="str">
        <f>IF(ISNUMBER(Datos!Q16),Datos!Q16," - ")</f>
        <v xml:space="preserve"> - </v>
      </c>
      <c r="D16" s="457" t="str">
        <f>IF(ISNUMBER(Datos!R16),Datos!R16," - ")</f>
        <v xml:space="preserve"> - </v>
      </c>
    </row>
    <row r="17" spans="1:4">
      <c r="A17" s="451" t="str">
        <f>Datos!A17</f>
        <v xml:space="preserve">Jdos. 1ª Instª. e Instr.                        </v>
      </c>
      <c r="B17" s="489">
        <f>IF(ISNUMBER(Datos!P17),Datos!P17," - ")</f>
        <v>31</v>
      </c>
      <c r="C17" s="490">
        <f>IF(ISNUMBER(Datos!Q17),Datos!Q17," - ")</f>
        <v>27</v>
      </c>
      <c r="D17" s="457">
        <f>IF(ISNUMBER(Datos!R17),Datos!R17," - ")</f>
        <v>58</v>
      </c>
    </row>
    <row r="18" spans="1:4">
      <c r="A18" s="451" t="str">
        <f>Datos!A18</f>
        <v>Jdos. Violencia contra la mujer</v>
      </c>
      <c r="B18" s="489">
        <f>IF(ISNUMBER(Datos!P18),Datos!P18," - ")</f>
        <v>1</v>
      </c>
      <c r="C18" s="490">
        <f>IF(ISNUMBER(Datos!Q18),Datos!Q18," - ")</f>
        <v>1</v>
      </c>
      <c r="D18" s="457">
        <f>IF(ISNUMBER(Datos!R18),Datos!R18," - ")</f>
        <v>1</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32</v>
      </c>
      <c r="C23" s="1153">
        <f>SUBTOTAL(9,C16:C22)</f>
        <v>28</v>
      </c>
      <c r="D23" s="1151">
        <f>SUBTOTAL(9,D16:D22)</f>
        <v>59</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182</v>
      </c>
      <c r="C31" s="1092">
        <f>SUBTOTAL(9,C8:C30)</f>
        <v>203</v>
      </c>
      <c r="D31" s="1093">
        <f>SUBTOTAL(9,D8:D30)</f>
        <v>963</v>
      </c>
    </row>
    <row r="32" spans="1:4" ht="7.5" customHeight="1"/>
    <row r="33" spans="1:1" ht="6" customHeight="1"/>
    <row r="34" spans="1:1">
      <c r="A34" s="440" t="str">
        <f>Criterios!A4</f>
        <v>Fecha Informe: 05 abr. 2022</v>
      </c>
    </row>
    <row r="39" spans="1:1">
      <c r="A39" s="463"/>
    </row>
  </sheetData>
  <sheetProtection algorithmName="SHA-512" hashValue="inIQTROeXNwF6ehYyQPSXMuS3kM1AmTI9YA2yhZAz7e+j36VMmO2xEoVJ26FhKmxQeW2IYn4C0G+i8RU/y0c+w==" saltValue="waLpNLYBViu7WgtdRSTN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ANDALUCIA</v>
      </c>
    </row>
    <row r="3" spans="1:11" ht="18.75" customHeight="1">
      <c r="A3" s="485" t="s">
        <v>165</v>
      </c>
      <c r="B3" s="440" t="str">
        <f>Criterios!A10 &amp;"  "&amp;Criterios!B10</f>
        <v>Provincias  MALAGA</v>
      </c>
    </row>
    <row r="4" spans="1:11" ht="10.5" customHeight="1" thickBot="1">
      <c r="B4" s="440" t="str">
        <f>Criterios!A11 &amp;"  "&amp;Criterios!B11</f>
        <v>Resumenes por Partidos Judiciales  ARCHIDONA</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t="str">
        <f>IF(ISNUMBER(
   IF(J_V="SI",(Datos!I9-Datos!S9)/Datos!S9,(Datos!I9+Datos!Y9-(Datos!S9+Datos!AG9))/(Datos!S9+Datos!AG9))
     ),IF(J_V="SI",(Datos!I9-Datos!S9)/Datos!S9,(Datos!I9+Datos!Y9-(Datos!S9+Datos!AG9))/(Datos!S9+Datos!AG9))," - ")</f>
        <v xml:space="preserve"> - </v>
      </c>
      <c r="C9" s="516" t="str">
        <f>IF(ISNUMBER(
   IF(J_V="SI",(Datos!J9-Datos!T9)/Datos!T9,(Datos!J9+Datos!Z9-(Datos!T9+Datos!AH9))/(Datos!T9+Datos!AH9))
     ),IF(J_V="SI",(Datos!J9-Datos!T9)/Datos!T9,(Datos!J9+Datos!Z9-(Datos!T9+Datos!AH9))/(Datos!T9+Datos!AH9))," - ")</f>
        <v xml:space="preserve"> - </v>
      </c>
      <c r="D9" s="516" t="str">
        <f>IF(ISNUMBER(
   IF(J_V="SI",(Datos!K9-Datos!U9)/Datos!U9,(Datos!K9+Datos!AA9-(Datos!U9+Datos!AI9))/(Datos!U9+Datos!AI9))
     ),IF(J_V="SI",(Datos!K9-Datos!U9)/Datos!U9,(Datos!K9+Datos!AA9-(Datos!U9+Datos!AI9))/(Datos!U9+Datos!AI9))," - ")</f>
        <v xml:space="preserve"> - </v>
      </c>
      <c r="E9" s="516" t="str">
        <f>IF(ISNUMBER(
   IF(J_V="SI",(Datos!L9-Datos!V9)/Datos!V9,(Datos!L9+Datos!AB9-(Datos!V9+Datos!AJ9))/(Datos!V9+Datos!AJ9))
     ),IF(J_V="SI",(Datos!L9-Datos!V9)/Datos!V9,(Datos!L9+Datos!AB9-(Datos!V9+Datos!AJ9))/(Datos!V9+Datos!AJ9))," - ")</f>
        <v xml:space="preserve"> - </v>
      </c>
      <c r="F9" s="516" t="str">
        <f>IF(ISNUMBER((Datos!M9-Datos!W9)/Datos!W9),(Datos!M9-Datos!W9)/Datos!W9," - ")</f>
        <v xml:space="preserve"> - </v>
      </c>
      <c r="G9" s="517" t="str">
        <f>IF(ISNUMBER((Datos!N9-Datos!X9)/Datos!X9),(Datos!N9-Datos!X9)/Datos!X9," - ")</f>
        <v xml:space="preserve"> - </v>
      </c>
      <c r="H9" s="515" t="str">
        <f>IF(ISNUMBER(((NºAsuntos!G9/NºAsuntos!E9)-Datos!BD9)/Datos!BD9),((NºAsuntos!G9/NºAsuntos!E9)-Datos!BD9)/Datos!BD9," - ")</f>
        <v xml:space="preserve"> - </v>
      </c>
      <c r="I9" s="516" t="str">
        <f>IF(ISNUMBER(((NºAsuntos!I9/NºAsuntos!G9)-Datos!BE9)/Datos!BE9),((NºAsuntos!I9/NºAsuntos!G9)-Datos!BE9)/Datos!BE9," - ")</f>
        <v xml:space="preserve"> - </v>
      </c>
      <c r="J9" s="522" t="str">
        <f>IF(ISNUMBER((('Resol  Asuntos'!D9/NºAsuntos!G9)-Datos!BF9)/Datos!BF9),(('Resol  Asuntos'!D9/NºAsuntos!G9)-Datos!BF9)/Datos!BF9," - ")</f>
        <v xml:space="preserve"> - </v>
      </c>
      <c r="K9" s="523" t="str">
        <f>IF(ISNUMBER((((NºAsuntos!C9+NºAsuntos!E9)/NºAsuntos!G9)-Datos!BG9)/Datos!BG9),(((NºAsuntos!C9+NºAsuntos!E9)/NºAsuntos!G9)-Datos!BG9)/Datos!BG9," - ")</f>
        <v xml:space="preserve"> - </v>
      </c>
    </row>
    <row r="10" spans="1:11">
      <c r="A10" s="451" t="str">
        <f>Datos!A10</f>
        <v>Jdos. Violencia contra la mujer</v>
      </c>
      <c r="B10" s="515">
        <f>IF(ISNUMBER((Datos!I10-Datos!S10)/Datos!S10),(Datos!I10-Datos!S10)/Datos!S10," - ")</f>
        <v>0</v>
      </c>
      <c r="C10" s="516">
        <f>IF(ISNUMBER((Datos!J10-Datos!T10)/Datos!T10),(Datos!J10-Datos!T10)/Datos!T10," - ")</f>
        <v>0</v>
      </c>
      <c r="D10" s="516">
        <f>IF(ISNUMBER((Datos!K10-Datos!U10)/Datos!U10),(Datos!K10-Datos!U10)/Datos!U10," - ")</f>
        <v>-0.5</v>
      </c>
      <c r="E10" s="516">
        <f>IF(ISNUMBER((Datos!L10-Datos!V10)/Datos!V10),(Datos!L10-Datos!V10)/Datos!V10," - ")</f>
        <v>2</v>
      </c>
      <c r="F10" s="516">
        <f>IF(ISNUMBER((Datos!M10-Datos!W10)/Datos!W10),(Datos!M10-Datos!W10)/Datos!W10," - ")</f>
        <v>-1</v>
      </c>
      <c r="G10" s="517" t="str">
        <f>IF(ISNUMBER((Datos!N10-Datos!X10)/Datos!X10),(Datos!N10-Datos!X10)/Datos!X10," - ")</f>
        <v xml:space="preserve"> - </v>
      </c>
      <c r="H10" s="515">
        <f>IF(ISNUMBER(((NºAsuntos!G10/NºAsuntos!E10)-Datos!BD10)/Datos!BD10),((NºAsuntos!G10/NºAsuntos!E10)-Datos!BD10)/Datos!BD10," - ")</f>
        <v>-0.5</v>
      </c>
      <c r="I10" s="516">
        <f>IF(ISNUMBER(((NºAsuntos!I10/NºAsuntos!G10)-Datos!BE10)/Datos!BE10),((NºAsuntos!I10/NºAsuntos!G10)-Datos!BE10)/Datos!BE10," - ")</f>
        <v>5</v>
      </c>
      <c r="J10" s="522">
        <f>IF(ISNUMBER((('Resol  Asuntos'!D10/NºAsuntos!G10)-Datos!BF10)/Datos!BF10),(('Resol  Asuntos'!D10/NºAsuntos!G10)-Datos!BF10)/Datos!BF10," - ")</f>
        <v>-1</v>
      </c>
      <c r="K10" s="523">
        <f>IF(ISNUMBER((((NºAsuntos!C10+NºAsuntos!E10)/NºAsuntos!G10)-Datos!BG10)/Datos!BG10),(((NºAsuntos!C10+NºAsuntos!E10)/NºAsuntos!G10)-Datos!BG10)/Datos!BG10," - ")</f>
        <v>1</v>
      </c>
    </row>
    <row r="11" spans="1:11">
      <c r="A11" s="451" t="str">
        <f>Datos!A11</f>
        <v xml:space="preserve">Jdos. Familia                                   </v>
      </c>
      <c r="B11" s="515" t="str">
        <f>IF(ISNUMBER(
   IF(J_V="SI",(Datos!I11-Datos!S11)/Datos!S11,(Datos!I11+Datos!Y11-(Datos!S11+Datos!AG11))/(Datos!S11+Datos!AG11))
     ),IF(J_V="SI",(Datos!I11-Datos!S11)/Datos!S11,(Datos!I11+Datos!Y11-(Datos!S11+Datos!AG11))/(Datos!S11+Datos!AG11))," - ")</f>
        <v xml:space="preserve"> - </v>
      </c>
      <c r="C11" s="516" t="str">
        <f>IF(ISNUMBER(
   IF(J_V="SI",(Datos!J11-Datos!T11)/Datos!T11,(Datos!J11+Datos!Z11-(Datos!T11+Datos!AH11))/(Datos!T11+Datos!AH11))
     ),IF(J_V="SI",(Datos!J11-Datos!T11)/Datos!T11,(Datos!J11+Datos!Z11-(Datos!T11+Datos!AH11))/(Datos!T11+Datos!AH11))," - ")</f>
        <v xml:space="preserve"> - </v>
      </c>
      <c r="D11" s="516" t="str">
        <f>IF(ISNUMBER(
   IF(J_V="SI",(Datos!K11-Datos!U11)/Datos!U11,(Datos!K11+Datos!AA11-(Datos!U11+Datos!AI11))/(Datos!U11+Datos!AI11))
     ),IF(J_V="SI",(Datos!K11-Datos!U11)/Datos!U11,(Datos!K11+Datos!AA11-(Datos!U11+Datos!AI11))/(Datos!U11+Datos!AI11))," - ")</f>
        <v xml:space="preserve"> - </v>
      </c>
      <c r="E11" s="516" t="str">
        <f>IF(ISNUMBER(
   IF(J_V="SI",(Datos!L11-Datos!V11)/Datos!V11,(Datos!L11+Datos!AB11-(Datos!V11+Datos!AJ11))/(Datos!V11+Datos!AJ11))
     ),IF(J_V="SI",(Datos!L11-Datos!V11)/Datos!V11,(Datos!L11+Datos!AB11-(Datos!V11+Datos!AJ11))/(Datos!V11+Datos!AJ11))," - ")</f>
        <v xml:space="preserve"> - </v>
      </c>
      <c r="F11" s="516" t="str">
        <f>IF(ISNUMBER((Datos!M11-Datos!W11)/Datos!W11),(Datos!M11-Datos!W11)/Datos!W11," - ")</f>
        <v xml:space="preserve"> - </v>
      </c>
      <c r="G11" s="517" t="str">
        <f>IF(ISNUMBER((Datos!N11-Datos!X11)/Datos!X11),(Datos!N11-Datos!X11)/Datos!X11," - ")</f>
        <v xml:space="preserve"> - </v>
      </c>
      <c r="H11" s="515" t="str">
        <f>IF(ISNUMBER(((NºAsuntos!G11/NºAsuntos!E11)-Datos!BD11)/Datos!BD11),((NºAsuntos!G11/NºAsuntos!E11)-Datos!BD11)/Datos!BD11," - ")</f>
        <v xml:space="preserve"> - </v>
      </c>
      <c r="I11" s="516" t="str">
        <f>IF(ISNUMBER(((NºAsuntos!I11/NºAsuntos!G11)-Datos!BE11)/Datos!BE11),((NºAsuntos!I11/NºAsuntos!G11)-Datos!BE11)/Datos!BE11," - ")</f>
        <v xml:space="preserve"> - </v>
      </c>
      <c r="J11" s="522" t="str">
        <f>IF(ISNUMBER((('Resol  Asuntos'!D11/NºAsuntos!G11)-Datos!BF11)/Datos!BF11),(('Resol  Asuntos'!D11/NºAsuntos!G11)-Datos!BF11)/Datos!BF11," - ")</f>
        <v xml:space="preserve"> - </v>
      </c>
      <c r="K11" s="523" t="str">
        <f>IF(ISNUMBER((((NºAsuntos!C11+NºAsuntos!E11)/NºAsuntos!G11)-Datos!BG11)/Datos!BG11),(((NºAsuntos!C11+NºAsuntos!E11)/NºAsuntos!G11)-Datos!BG11)/Datos!BG11," - ")</f>
        <v xml:space="preserve"> - </v>
      </c>
    </row>
    <row r="12" spans="1:11">
      <c r="A12" s="451" t="str">
        <f>Datos!A12</f>
        <v xml:space="preserve">Jdos. 1ª Instª. e Instr.                        </v>
      </c>
      <c r="B12" s="515">
        <f>IF(ISNUMBER(
   IF(J_V="SI",(Datos!I12-Datos!S12)/Datos!S12,(Datos!I12+Datos!Y12-(Datos!S12+Datos!AG12))/(Datos!S12+Datos!AG12))
     ),IF(J_V="SI",(Datos!I12-Datos!S12)/Datos!S12,(Datos!I12+Datos!Y12-(Datos!S12+Datos!AG12))/(Datos!S12+Datos!AG12))," - ")</f>
        <v>0.23138832997987926</v>
      </c>
      <c r="C12" s="516">
        <f>IF(ISNUMBER(
   IF(J_V="SI",(Datos!J12-Datos!T12)/Datos!T12,(Datos!J12+Datos!Z12-(Datos!T12+Datos!AH12))/(Datos!T12+Datos!AH12))
     ),IF(J_V="SI",(Datos!J12-Datos!T12)/Datos!T12,(Datos!J12+Datos!Z12-(Datos!T12+Datos!AH12))/(Datos!T12+Datos!AH12))," - ")</f>
        <v>0.1326530612244898</v>
      </c>
      <c r="D12" s="516">
        <f>IF(ISNUMBER(
   IF(J_V="SI",(Datos!K12-Datos!U12)/Datos!U12,(Datos!K12+Datos!AA12-(Datos!U12+Datos!AI12))/(Datos!U12+Datos!AI12))
     ),IF(J_V="SI",(Datos!K12-Datos!U12)/Datos!U12,(Datos!K12+Datos!AA12-(Datos!U12+Datos!AI12))/(Datos!U12+Datos!AI12))," - ")</f>
        <v>0.3628691983122363</v>
      </c>
      <c r="E12" s="516">
        <f>IF(ISNUMBER(
   IF(J_V="SI",(Datos!L12-Datos!V12)/Datos!V12,(Datos!L12+Datos!AB12-(Datos!V12+Datos!AJ12))/(Datos!V12+Datos!AJ12))
     ),IF(J_V="SI",(Datos!L12-Datos!V12)/Datos!V12,(Datos!L12+Datos!AB12-(Datos!V12+Datos!AJ12))/(Datos!V12+Datos!AJ12))," - ")</f>
        <v>3.2679738562091505E-2</v>
      </c>
      <c r="F12" s="516">
        <f>IF(ISNUMBER((Datos!M12-Datos!W12)/Datos!W12),(Datos!M12-Datos!W12)/Datos!W12," - ")</f>
        <v>0.40425531914893614</v>
      </c>
      <c r="G12" s="517">
        <f>IF(ISNUMBER((Datos!N12-Datos!X12)/Datos!X12),(Datos!N12-Datos!X12)/Datos!X12," - ")</f>
        <v>0.43113772455089822</v>
      </c>
      <c r="H12" s="515">
        <f>IF(ISNUMBER(((NºAsuntos!G12/NºAsuntos!E12)-Datos!BD12)/Datos!BD12),((NºAsuntos!G12/NºAsuntos!E12)-Datos!BD12)/Datos!BD12," - ")</f>
        <v>0.20325388679819059</v>
      </c>
      <c r="I12" s="516">
        <f>IF(ISNUMBER(((NºAsuntos!I12/NºAsuntos!G12)-Datos!BE12)/Datos!BE12),((NºAsuntos!I12/NºAsuntos!G12)-Datos!BE12)/Datos!BE12," - ")</f>
        <v>-0.24227523826868211</v>
      </c>
      <c r="J12" s="522">
        <f>IF(ISNUMBER((('Resol  Asuntos'!D12/NºAsuntos!G12)-Datos!BF12)/Datos!BF12),(('Resol  Asuntos'!D12/NºAsuntos!G12)-Datos!BF12)/Datos!BF12," - ")</f>
        <v>-0.42003299901744501</v>
      </c>
      <c r="K12" s="523">
        <f>IF(ISNUMBER((((NºAsuntos!C12+NºAsuntos!E12)/NºAsuntos!G12)-Datos!BG12)/Datos!BG12),(((NºAsuntos!C12+NºAsuntos!E12)/NºAsuntos!G12)-Datos!BG12)/Datos!BG12," - ")</f>
        <v>-0.13573497310639024</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0.23092369477911648</v>
      </c>
      <c r="C14" s="1155">
        <f>IF(ISNUMBER(
   IF(J_V="SI",(Datos!J14-Datos!T14)/Datos!T14,(Datos!J14+Datos!Z14-(Datos!T14+Datos!AH14))/(Datos!T14+Datos!AH14))
     ),IF(J_V="SI",(Datos!J14-Datos!T14)/Datos!T14,(Datos!J14+Datos!Z14-(Datos!T14+Datos!AH14))/(Datos!T14+Datos!AH14))," - ")</f>
        <v>0.13175675675675674</v>
      </c>
      <c r="D14" s="1155">
        <f>IF(ISNUMBER(
   IF(J_V="SI",(Datos!K14-Datos!U14)/Datos!U14,(Datos!K14+Datos!AA14-(Datos!U14+Datos!AI14))/(Datos!U14+Datos!AI14))
     ),IF(J_V="SI",(Datos!K14-Datos!U14)/Datos!U14,(Datos!K14+Datos!AA14-(Datos!U14+Datos!AI14))/(Datos!U14+Datos!AI14))," - ")</f>
        <v>0.35564853556485354</v>
      </c>
      <c r="E14" s="1155">
        <f>IF(ISNUMBER(
   IF(J_V="SI",(Datos!L14-Datos!V14)/Datos!V14,(Datos!L14+Datos!AB14-(Datos!V14+Datos!AJ14))/(Datos!V14+Datos!AJ14))
     ),IF(J_V="SI",(Datos!L14-Datos!V14)/Datos!V14,(Datos!L14+Datos!AB14-(Datos!V14+Datos!AJ14))/(Datos!V14+Datos!AJ14))," - ")</f>
        <v>3.588907014681892E-2</v>
      </c>
      <c r="F14" s="1156">
        <f>IF(ISNUMBER((Datos!M14-Datos!W14)/Datos!W14),(Datos!M14-Datos!W14)/Datos!W14," - ")</f>
        <v>0.36082474226804123</v>
      </c>
      <c r="G14" s="1157">
        <f>IF(ISNUMBER((Datos!N14-Datos!X14)/Datos!X14),(Datos!N14-Datos!X14)/Datos!X14," - ")</f>
        <v>0.43113772455089822</v>
      </c>
      <c r="H14" s="1157">
        <f>IF(ISNUMBER(((NºAsuntos!G14/NºAsuntos!E14)-Datos!BD14)/Datos!BD14),((NºAsuntos!G14/NºAsuntos!E14)-Datos!BD14)/Datos!BD14," - ")</f>
        <v>0.19782676575282579</v>
      </c>
      <c r="I14" s="1157">
        <f>IF(ISNUMBER(((NºAsuntos!I14/NºAsuntos!G14)-Datos!BE14)/Datos!BE14),((NºAsuntos!I14/NºAsuntos!G14)-Datos!BE14)/Datos!BE14," - ")</f>
        <v>-0.2358719513423157</v>
      </c>
      <c r="J14" s="1157">
        <f>IF(ISNUMBER((('Resol  Asuntos'!D14/NºAsuntos!G14)-Datos!BF14)/Datos!BF14),(('Resol  Asuntos'!D14/NºAsuntos!G14)-Datos!BF14)/Datos!BF14," - ")</f>
        <v>-0.42723311546840959</v>
      </c>
      <c r="K14" s="1157">
        <f>IF(ISNUMBER((((NºAsuntos!C14+NºAsuntos!E14)/NºAsuntos!G14)-Datos!BG14)/Datos!BG14),(((NºAsuntos!C14+NºAsuntos!E14)/NºAsuntos!G14)-Datos!BG14)/Datos!BG14," - ")</f>
        <v>-0.13173349190168765</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t="str">
        <f>IF(ISNUMBER(
   IF(D_I="SI",(Datos!I16-Datos!S16)/Datos!S16,(Datos!I16+Datos!AC16-(Datos!S16+Datos!AK16))/(Datos!S16+Datos!AK16))
     ),IF(D_I="SI",(Datos!I16-Datos!S16)/Datos!S16,(Datos!I16+Datos!AC16-(Datos!S16+Datos!AK16))/(Datos!S16+Datos!AK16))," - ")</f>
        <v xml:space="preserve"> - </v>
      </c>
      <c r="C16" s="516" t="str">
        <f>IF(ISNUMBER(
   IF(D_I="SI",(Datos!J16-Datos!T16)/Datos!T16,(Datos!J16+Datos!AD16-(Datos!T16+Datos!AL16))/(Datos!T16+Datos!AL16))
     ),IF(D_I="SI",(Datos!J16-Datos!T16)/Datos!T16,(Datos!J16+Datos!AD16-(Datos!T16+Datos!AL16))/(Datos!T16+Datos!AL16))," - ")</f>
        <v xml:space="preserve"> - </v>
      </c>
      <c r="D16" s="516" t="str">
        <f>IF(ISNUMBER(
   IF(D_I="SI",(Datos!K16-Datos!U16)/Datos!U16,(Datos!K16+Datos!AE16-(Datos!U16+Datos!AM16))/(Datos!U16+Datos!AM16))
     ),IF(D_I="SI",(Datos!K16-Datos!U16)/Datos!U16,(Datos!K16+Datos!AE16-(Datos!U16+Datos!AM16))/(Datos!U16+Datos!AM16))," - ")</f>
        <v xml:space="preserve"> - </v>
      </c>
      <c r="E16" s="516" t="str">
        <f>IF(ISNUMBER(
   IF(D_I="SI",(Datos!L16-Datos!V16)/Datos!V16,(Datos!L16+Datos!AF16-(Datos!V16+Datos!AN16))/(Datos!V16+Datos!AN16))
     ),IF(D_I="SI",(Datos!L16-Datos!V16)/Datos!V16,(Datos!L16+Datos!AF16-(Datos!V16+Datos!AN16))/(Datos!V16+Datos!AN16))," - ")</f>
        <v xml:space="preserve"> - </v>
      </c>
      <c r="F16" s="516" t="str">
        <f>IF(ISNUMBER((Datos!M16-Datos!W16)/Datos!W16),(Datos!M16-Datos!W16)/Datos!W16," - ")</f>
        <v xml:space="preserve"> - </v>
      </c>
      <c r="G16" s="517" t="str">
        <f>IF(ISNUMBER((Datos!N16-Datos!X16)/Datos!X16),(Datos!N16-Datos!X16)/Datos!X16," - ")</f>
        <v xml:space="preserve"> - </v>
      </c>
      <c r="H16" s="515" t="str">
        <f>IF(ISNUMBER(((NºAsuntos!G16/NºAsuntos!E16)-Datos!BD16)/Datos!BD16),((NºAsuntos!G16/NºAsuntos!E16)-Datos!BD16)/Datos!BD16," - ")</f>
        <v xml:space="preserve"> - </v>
      </c>
      <c r="I16" s="516" t="str">
        <f>IF(ISNUMBER(((NºAsuntos!I16/NºAsuntos!G16)-Datos!BE16)/Datos!BE16),((NºAsuntos!I16/NºAsuntos!G16)-Datos!BE16)/Datos!BE16," - ")</f>
        <v xml:space="preserve"> - </v>
      </c>
      <c r="J16" s="522" t="str">
        <f>IF(ISNUMBER((('Resol  Asuntos'!D16/NºAsuntos!G16)-Datos!BF16)/Datos!BF16),(('Resol  Asuntos'!D16/NºAsuntos!G16)-Datos!BF16)/Datos!BF16," - ")</f>
        <v xml:space="preserve"> - </v>
      </c>
      <c r="K16" s="523" t="str">
        <f>IF(ISNUMBER((((NºAsuntos!C16+NºAsuntos!E16)/NºAsuntos!G16)-Datos!BG16)/Datos!BG16),(((NºAsuntos!C16+NºAsuntos!E16)/NºAsuntos!G16)-Datos!BG16)/Datos!BG16," - ")</f>
        <v xml:space="preserve"> - </v>
      </c>
    </row>
    <row r="17" spans="1:11">
      <c r="A17" s="451" t="str">
        <f>Datos!A17</f>
        <v xml:space="preserve">Jdos. 1ª Instª. e Instr.                        </v>
      </c>
      <c r="B17" s="515">
        <f>IF(ISNUMBER(
   IF(D_I="SI",(Datos!I17-Datos!S17)/Datos!S17,(Datos!I17+Datos!AC17-(Datos!S17+Datos!AK17))/(Datos!S17+Datos!AK17))
     ),IF(D_I="SI",(Datos!I17-Datos!S17)/Datos!S17,(Datos!I17+Datos!AC17-(Datos!S17+Datos!AK17))/(Datos!S17+Datos!AK17))," - ")</f>
        <v>-7.179487179487179E-2</v>
      </c>
      <c r="C17" s="516">
        <f>IF(ISNUMBER(
   IF(D_I="SI",(Datos!J17-Datos!T17)/Datos!T17,(Datos!J17+Datos!AD17-(Datos!T17+Datos!AL17))/(Datos!T17+Datos!AL17))
     ),IF(D_I="SI",(Datos!J17-Datos!T17)/Datos!T17,(Datos!J17+Datos!AD17-(Datos!T17+Datos!AL17))/(Datos!T17+Datos!AL17))," - ")</f>
        <v>-0.12339585389930899</v>
      </c>
      <c r="D17" s="516">
        <f>IF(ISNUMBER(
   IF(D_I="SI",(Datos!K17-Datos!U17)/Datos!U17,(Datos!K17+Datos!AE17-(Datos!U17+Datos!AM17))/(Datos!U17+Datos!AM17))
     ),IF(D_I="SI",(Datos!K17-Datos!U17)/Datos!U17,(Datos!K17+Datos!AE17-(Datos!U17+Datos!AM17))/(Datos!U17+Datos!AM17))," - ")</f>
        <v>-0.13106796116504854</v>
      </c>
      <c r="E17" s="516">
        <f>IF(ISNUMBER(
   IF(D_I="SI",(Datos!L17-Datos!V17)/Datos!V17,(Datos!L17+Datos!AF17-(Datos!V17+Datos!AN17))/(Datos!V17+Datos!AN17))
     ),IF(D_I="SI",(Datos!L17-Datos!V17)/Datos!V17,(Datos!L17+Datos!AF17-(Datos!V17+Datos!AN17))/(Datos!V17+Datos!AN17))," - ")</f>
        <v>-3.8674033149171269E-2</v>
      </c>
      <c r="F17" s="516">
        <f>IF(ISNUMBER((Datos!M17-Datos!W17)/Datos!W17),(Datos!M17-Datos!W17)/Datos!W17," - ")</f>
        <v>0.37894736842105264</v>
      </c>
      <c r="G17" s="517">
        <f>IF(ISNUMBER((Datos!N17-Datos!X17)/Datos!X17),(Datos!N17-Datos!X17)/Datos!X17," - ")</f>
        <v>-0.37073863636363635</v>
      </c>
      <c r="H17" s="515">
        <f>IF(ISNUMBER(((NºAsuntos!G17/NºAsuntos!E17)-Datos!BD17)/Datos!BD17),((NºAsuntos!G17/NºAsuntos!E17)-Datos!BD17)/Datos!BD17," - ")</f>
        <v>-8.7520773200384164E-3</v>
      </c>
      <c r="I17" s="516">
        <f>IF(ISNUMBER(((NºAsuntos!I17/NºAsuntos!G17)-Datos!BE17)/Datos!BE17),((NºAsuntos!I17/NºAsuntos!G17)-Datos!BE17)/Datos!BE17," - ")</f>
        <v>0.10633044229760176</v>
      </c>
      <c r="J17" s="522">
        <f>IF(ISNUMBER((('Resol  Asuntos'!D17/NºAsuntos!G17)-Datos!BF17)/Datos!BF17),(('Resol  Asuntos'!D17/NºAsuntos!G17)-Datos!BF17)/Datos!BF17," - ")</f>
        <v>0.58694501617171435</v>
      </c>
      <c r="K17" s="523">
        <f>IF(ISNUMBER((((NºAsuntos!C17+NºAsuntos!E17)/NºAsuntos!G17)-Datos!BG17)/Datos!BG17),(((NºAsuntos!C17+NºAsuntos!E17)/NºAsuntos!G17)-Datos!BG17)/Datos!BG17," - ")</f>
        <v>1.8415405675385566E-2</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0.5</v>
      </c>
      <c r="C18" s="516">
        <f>IF(ISNUMBER(
   IF(D_I="SI",(Datos!J18-Datos!T18)/Datos!T18,(Datos!J18+Datos!AD18-(Datos!T18+Datos!AL18))/(Datos!T18+Datos!AL18))
     ),IF(D_I="SI",(Datos!J18-Datos!T18)/Datos!T18,(Datos!J18+Datos!AD18-(Datos!T18+Datos!AL18))/(Datos!T18+Datos!AL18))," - ")</f>
        <v>0.35</v>
      </c>
      <c r="D18" s="516">
        <f>IF(ISNUMBER(
   IF(D_I="SI",(Datos!K18-Datos!U18)/Datos!U18,(Datos!K18+Datos!AE18-(Datos!U18+Datos!AM18))/(Datos!U18+Datos!AM18))
     ),IF(D_I="SI",(Datos!K18-Datos!U18)/Datos!U18,(Datos!K18+Datos!AE18-(Datos!U18+Datos!AM18))/(Datos!U18+Datos!AM18))," - ")</f>
        <v>0.25</v>
      </c>
      <c r="E18" s="516">
        <f>IF(ISNUMBER(
   IF(D_I="SI",(Datos!L18-Datos!V18)/Datos!V18,(Datos!L18+Datos!AF18-(Datos!V18+Datos!AN18))/(Datos!V18+Datos!AN18))
     ),IF(D_I="SI",(Datos!L18-Datos!V18)/Datos!V18,(Datos!L18+Datos!AF18-(Datos!V18+Datos!AN18))/(Datos!V18+Datos!AN18))," - ")</f>
        <v>1</v>
      </c>
      <c r="F18" s="516">
        <f>IF(ISNUMBER((Datos!M18-Datos!W18)/Datos!W18),(Datos!M18-Datos!W18)/Datos!W18," - ")</f>
        <v>0</v>
      </c>
      <c r="G18" s="517">
        <f>IF(ISNUMBER((Datos!N18-Datos!X18)/Datos!X18),(Datos!N18-Datos!X18)/Datos!X18," - ")</f>
        <v>4.2553191489361701E-2</v>
      </c>
      <c r="H18" s="515">
        <f>IF(ISNUMBER(((NºAsuntos!G18/NºAsuntos!E18)-Datos!BD18)/Datos!BD18),((NºAsuntos!G18/NºAsuntos!E18)-Datos!BD18)/Datos!BD18," - ")</f>
        <v>-7.407407407407407E-2</v>
      </c>
      <c r="I18" s="516">
        <f>IF(ISNUMBER(((NºAsuntos!I18/NºAsuntos!G18)-Datos!BE18)/Datos!BE18),((NºAsuntos!I18/NºAsuntos!G18)-Datos!BE18)/Datos!BE18," - ")</f>
        <v>0.6</v>
      </c>
      <c r="J18" s="522">
        <f>IF(ISNUMBER((('Resol  Asuntos'!D18/NºAsuntos!G18)-Datos!BF18)/Datos!BF18),(('Resol  Asuntos'!D18/NºAsuntos!G18)-Datos!BF18)/Datos!BF18," - ")</f>
        <v>-0.19999999999999996</v>
      </c>
      <c r="K18" s="523">
        <f>IF(ISNUMBER((((NºAsuntos!C18+NºAsuntos!E18)/NºAsuntos!G18)-Datos!BG18)/Datos!BG18),(((NºAsuntos!C18+NºAsuntos!E18)/NºAsuntos!G18)-Datos!BG18)/Datos!BG18," - ")</f>
        <v>8.7499999999999939E-2</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-6.030150753768844E-2</v>
      </c>
      <c r="C23" s="1155">
        <f>IF(ISNUMBER(
   IF(Criterios!B14="SI",(Datos!J23-Datos!T23)/Datos!T23,(Datos!J23+Datos!AD23-(Datos!T23+Datos!AL23))/(Datos!T23+Datos!AL23))
     ),IF(Criterios!B14="SI",(Datos!J23-Datos!T23)/Datos!T23,(Datos!J23+Datos!AD23-(Datos!T23+Datos!AL23))/(Datos!T23+Datos!AL23))," - ")</f>
        <v>-9.6924510717614168E-2</v>
      </c>
      <c r="D23" s="1155">
        <f>IF(ISNUMBER(
   IF(Criterios!B14="SI",(Datos!K23-Datos!U23)/Datos!U23,(Datos!K23+Datos!AE23-(Datos!U23+Datos!AM23))/(Datos!U23+Datos!AM23))
     ),IF(Criterios!B14="SI",(Datos!K23-Datos!U23)/Datos!U23,(Datos!K23+Datos!AE23-(Datos!U23+Datos!AM23))/(Datos!U23+Datos!AM23))," - ")</f>
        <v>-0.11009174311926606</v>
      </c>
      <c r="E23" s="1155">
        <f>IF(ISNUMBER(
   IF(Criterios!B14="SI",(Datos!L23-Datos!V23)/Datos!V23,(Datos!L23+Datos!AF23-(Datos!V23+Datos!AN23))/(Datos!V23+Datos!AN23))
     ),IF(Criterios!B14="SI",(Datos!L23-Datos!V23)/Datos!V23,(Datos!L23+Datos!AF23-(Datos!V23+Datos!AN23))/(Datos!V23+Datos!AN23))," - ")</f>
        <v>-5.3475935828877002E-3</v>
      </c>
      <c r="F23" s="1156">
        <f>IF(ISNUMBER((Datos!M23-Datos!W23)/Datos!W23),(Datos!M23-Datos!W23)/Datos!W23," - ")</f>
        <v>0.36</v>
      </c>
      <c r="G23" s="1157">
        <f>IF(ISNUMBER((Datos!N23-Datos!X23)/Datos!X23),(Datos!N23-Datos!X23)/Datos!X23," - ")</f>
        <v>-0.34487350199733691</v>
      </c>
      <c r="H23" s="1157">
        <f>IF(ISNUMBER(((NºAsuntos!G23/NºAsuntos!E23)-Datos!BD23)/Datos!BD23),((NºAsuntos!G23/NºAsuntos!E23)-Datos!BD23)/Datos!BD23," - ")</f>
        <v>-1.458043381524512E-2</v>
      </c>
      <c r="I23" s="1157">
        <f>IF(ISNUMBER(((NºAsuntos!I23/NºAsuntos!G23)-Datos!BE23)/Datos!BE23),((NºAsuntos!I23/NºAsuntos!G23)-Datos!BE23)/Datos!BE23," - ")</f>
        <v>0.11770218865428084</v>
      </c>
      <c r="J23" s="1157">
        <f>IF(ISNUMBER((('Resol  Asuntos'!D23/NºAsuntos!G23)-Datos!BF23)/Datos!BF23),(('Resol  Asuntos'!D23/NºAsuntos!G23)-Datos!BF23)/Datos!BF23," - ")</f>
        <v>0.52824742268041225</v>
      </c>
      <c r="K23" s="1157">
        <f>IF(ISNUMBER((((NºAsuntos!C23+NºAsuntos!E23)/NºAsuntos!G23)-Datos!BG23)/Datos!BG23),(((NºAsuntos!C23+NºAsuntos!E23)/NºAsuntos!G23)-Datos!BG23)/Datos!BG23," - ")</f>
        <v>2.1234519872917003E-2</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0.14777618364418937</v>
      </c>
      <c r="C31" s="1095">
        <f>IF(ISNUMBER(
   IF(J_V="SI",(Datos!J31-Datos!T31)/Datos!T31,(Datos!J31+Datos!Z31-(Datos!T31+Datos!AH31))/(Datos!T31+Datos!AH31))
     ),IF(J_V="SI",(Datos!J31-Datos!T31)/Datos!T31,(Datos!J31+Datos!Z31-(Datos!T31+Datos!AH31))/(Datos!T31+Datos!AH31))," - ")</f>
        <v>-1.5615615615615615E-2</v>
      </c>
      <c r="D31" s="1095">
        <f>IF(ISNUMBER(
   IF(J_V="SI",(Datos!K31-Datos!U31)/Datos!U31,(Datos!K31+Datos!AA31-(Datos!U31+Datos!AI31))/(Datos!U31+Datos!AI31))
     ),IF(J_V="SI",(Datos!K31-Datos!U31)/Datos!U31,(Datos!K31+Datos!AA31-(Datos!U31+Datos!AI31))/(Datos!U31+Datos!AI31))," - ")</f>
        <v>3.1887755102040817E-2</v>
      </c>
      <c r="E31" s="1095">
        <f>IF(ISNUMBER(
   IF(J_V="SI",(Datos!L31-Datos!V31)/Datos!V31,(Datos!L31+Datos!AB31-(Datos!V31+Datos!AJ31))/(Datos!V31+Datos!AJ31))
     ),IF(J_V="SI",(Datos!L31-Datos!V31)/Datos!V31,(Datos!L31+Datos!AB31-(Datos!V31+Datos!AJ31))/(Datos!V31+Datos!AJ31))," - ")</f>
        <v>2.6249999999999999E-2</v>
      </c>
      <c r="F31" s="1096">
        <f>IF(ISNUMBER((Datos!M31-Datos!W31)/Datos!W31),(Datos!M31-Datos!W31)/Datos!W31," - ")</f>
        <v>0.3604060913705584</v>
      </c>
      <c r="G31" s="1097">
        <f>IF(ISNUMBER((Datos!N31-Datos!X31)/Datos!X31),(Datos!N31-Datos!X31)/Datos!X31," - ")</f>
        <v>-0.20370370370370369</v>
      </c>
      <c r="H31" s="1098">
        <f>IF(ISNUMBER((Tasas!B31-Datos!BD31)/Datos!BD31),(Tasas!B31-Datos!BD31)/Datos!BD31," - ")</f>
        <v>4.8256932425197054E-2</v>
      </c>
      <c r="I31" s="1099">
        <f>IF(ISNUMBER((Tasas!C31-Datos!BE31)/Datos!BE31),(Tasas!C31-Datos!BE31)/Datos!BE31," - ")</f>
        <v>-5.4635352286774895E-3</v>
      </c>
      <c r="J31" s="1100">
        <f>IF(ISNUMBER((Tasas!D31-Datos!BF31)/Datos!BF31),(Tasas!D31-Datos!BF31)/Datos!BF31," - ")</f>
        <v>-3.8080849700132841E-2</v>
      </c>
      <c r="K31" s="1100">
        <f>IF(ISNUMBER((Tasas!E31-Datos!BG31)/Datos!BG31),(Tasas!E31-Datos!BG31)/Datos!BG31," - ")</f>
        <v>6.8974251357241173E-4</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5O0CBa/pH2bUhslevsc9rzxoxm3qrnbZBz1ZMCKv5ltyI11zcKKb44zf4Xrn+MsQWjrPY5cAM2Zj0uIbswxb2g==" saltValue="TN7QSfEUnsam5Zpuib4TSQ=="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ANDALUCIA</v>
      </c>
    </row>
    <row r="3" spans="1:7" ht="19.5">
      <c r="A3" s="492" t="s">
        <v>17</v>
      </c>
      <c r="B3" s="440" t="str">
        <f>Criterios!A10 &amp;"  "&amp;Criterios!B10</f>
        <v>Provincias  MALAGA</v>
      </c>
    </row>
    <row r="4" spans="1:7" ht="11.25" customHeight="1" thickBot="1">
      <c r="B4" s="440" t="str">
        <f>Criterios!A11 &amp;"  "&amp;Criterios!B11</f>
        <v>Resumenes por Partidos Judiciales  ARCHIDONA</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t="str">
        <f>IF(ISNUMBER(NºAsuntos!G9/NºAsuntos!E9),NºAsuntos!G9/NºAsuntos!E9," - ")</f>
        <v xml:space="preserve"> - </v>
      </c>
      <c r="C9" s="499" t="str">
        <f>IF(ISNUMBER(NºAsuntos!I9/NºAsuntos!G9),NºAsuntos!I9/NºAsuntos!G9," - ")</f>
        <v xml:space="preserve"> - </v>
      </c>
      <c r="D9" s="500" t="str">
        <f>IF(ISNUMBER('Resol  Asuntos'!D9/NºAsuntos!G9),'Resol  Asuntos'!D9/NºAsuntos!G9," - ")</f>
        <v xml:space="preserve"> - </v>
      </c>
      <c r="E9" s="501" t="str">
        <f>IF(ISNUMBER((NºAsuntos!C9+NºAsuntos!E9)/NºAsuntos!G9),(NºAsuntos!C9+NºAsuntos!E9)/NºAsuntos!G9," - ")</f>
        <v xml:space="preserve"> - </v>
      </c>
      <c r="G9" s="524"/>
    </row>
    <row r="10" spans="1:7">
      <c r="A10" s="451" t="str">
        <f>Datos!A10</f>
        <v>Jdos. Violencia contra la mujer</v>
      </c>
      <c r="B10" s="498">
        <f>IF(ISNUMBER(NºAsuntos!G10/NºAsuntos!E10),NºAsuntos!G10/NºAsuntos!E10," - ")</f>
        <v>0.5</v>
      </c>
      <c r="C10" s="499">
        <f>IF(ISNUMBER(NºAsuntos!I10/NºAsuntos!G10),NºAsuntos!I10/NºAsuntos!G10," - ")</f>
        <v>1.5</v>
      </c>
      <c r="D10" s="500">
        <f>IF(ISNUMBER('Resol  Asuntos'!D10/NºAsuntos!G10),'Resol  Asuntos'!D10/NºAsuntos!G10," - ")</f>
        <v>0</v>
      </c>
      <c r="E10" s="501">
        <f>IF(ISNUMBER((NºAsuntos!C10+NºAsuntos!E10)/NºAsuntos!G10),(NºAsuntos!C10+NºAsuntos!E10)/NºAsuntos!G10," - ")</f>
        <v>2.5</v>
      </c>
      <c r="G10" s="524"/>
    </row>
    <row r="11" spans="1:7">
      <c r="A11" s="451" t="str">
        <f>Datos!A11</f>
        <v xml:space="preserve">Jdos. Familia                                   </v>
      </c>
      <c r="B11" s="498" t="str">
        <f>IF(ISNUMBER(NºAsuntos!G11/NºAsuntos!E11),NºAsuntos!G11/NºAsuntos!E11," - ")</f>
        <v xml:space="preserve"> - </v>
      </c>
      <c r="C11" s="499" t="str">
        <f>IF(ISNUMBER(NºAsuntos!I11/NºAsuntos!G11),NºAsuntos!I11/NºAsuntos!G11," - ")</f>
        <v xml:space="preserve"> - </v>
      </c>
      <c r="D11" s="500" t="str">
        <f>IF(ISNUMBER('Resol  Asuntos'!D11/NºAsuntos!G11),'Resol  Asuntos'!D11/NºAsuntos!G11," - ")</f>
        <v xml:space="preserve"> - </v>
      </c>
      <c r="E11" s="501" t="str">
        <f>IF(ISNUMBER((NºAsuntos!C11+NºAsuntos!E11)/NºAsuntos!G11),(NºAsuntos!C11+NºAsuntos!E11)/NºAsuntos!G11," - ")</f>
        <v xml:space="preserve"> - </v>
      </c>
      <c r="G11" s="524"/>
    </row>
    <row r="12" spans="1:7">
      <c r="A12" s="451" t="str">
        <f>Datos!A12</f>
        <v xml:space="preserve">Jdos. 1ª Instª. e Instr.                        </v>
      </c>
      <c r="B12" s="498">
        <f>IF(ISNUMBER(NºAsuntos!G12/NºAsuntos!E12),NºAsuntos!G12/NºAsuntos!E12," - ")</f>
        <v>0.96996996996996998</v>
      </c>
      <c r="C12" s="499">
        <f>IF(ISNUMBER(NºAsuntos!I12/NºAsuntos!G12),NºAsuntos!I12/NºAsuntos!G12," - ")</f>
        <v>0.97832817337461297</v>
      </c>
      <c r="D12" s="500">
        <f>IF(ISNUMBER('Resol  Asuntos'!D12/NºAsuntos!G12),'Resol  Asuntos'!D12/NºAsuntos!G12," - ")</f>
        <v>0.2043343653250774</v>
      </c>
      <c r="E12" s="501">
        <f>IF(ISNUMBER((NºAsuntos!C12+NºAsuntos!E12)/NºAsuntos!G12),(NºAsuntos!C12+NºAsuntos!E12)/NºAsuntos!G12," - ")</f>
        <v>1.978328173374613</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0.96716417910447761</v>
      </c>
      <c r="C14" s="1159">
        <f>IF(ISNUMBER(NºAsuntos!I14/NºAsuntos!G14),NºAsuntos!I14/NºAsuntos!G14," - ")</f>
        <v>0.97993827160493829</v>
      </c>
      <c r="D14" s="1160">
        <f>IF(ISNUMBER('Resol  Asuntos'!D14/NºAsuntos!G14),'Resol  Asuntos'!D14/NºAsuntos!G14," - ")</f>
        <v>0.20370370370370369</v>
      </c>
      <c r="E14" s="1161">
        <f>IF(ISNUMBER((NºAsuntos!C14+NºAsuntos!E14)/NºAsuntos!G14),(NºAsuntos!C14+NºAsuntos!E14)/NºAsuntos!G14," - ")</f>
        <v>1.9799382716049383</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t="str">
        <f>IF(ISNUMBER(NºAsuntos!G16/NºAsuntos!E16),NºAsuntos!G16/NºAsuntos!E16," - ")</f>
        <v xml:space="preserve"> - </v>
      </c>
      <c r="C16" s="499" t="str">
        <f>IF(ISNUMBER(NºAsuntos!I16/NºAsuntos!G16),NºAsuntos!I16/NºAsuntos!G16," - ")</f>
        <v xml:space="preserve"> - </v>
      </c>
      <c r="D16" s="500" t="str">
        <f>IF(ISNUMBER('Resol  Asuntos'!D16/NºAsuntos!G16),'Resol  Asuntos'!D16/NºAsuntos!G16," - ")</f>
        <v xml:space="preserve"> - </v>
      </c>
      <c r="E16" s="501" t="str">
        <f>IF(ISNUMBER((NºAsuntos!C16+NºAsuntos!E16)/NºAsuntos!G16),(NºAsuntos!C16+NºAsuntos!E16)/NºAsuntos!G16," - ")</f>
        <v xml:space="preserve"> - </v>
      </c>
      <c r="G16" s="524"/>
    </row>
    <row r="17" spans="1:7">
      <c r="A17" s="451" t="str">
        <f>Datos!A17</f>
        <v xml:space="preserve">Jdos. 1ª Instª. e Instr.                        </v>
      </c>
      <c r="B17" s="498">
        <f>IF(ISNUMBER(NºAsuntos!G17/NºAsuntos!E17),NºAsuntos!G17/NºAsuntos!E17," - ")</f>
        <v>1.007882882882883</v>
      </c>
      <c r="C17" s="499">
        <f>IF(ISNUMBER(NºAsuntos!I17/NºAsuntos!G17),NºAsuntos!I17/NºAsuntos!G17," - ")</f>
        <v>0.19441340782122904</v>
      </c>
      <c r="D17" s="500">
        <f>IF(ISNUMBER('Resol  Asuntos'!D17/NºAsuntos!G17),'Resol  Asuntos'!D17/NºAsuntos!G17," - ")</f>
        <v>0.14636871508379889</v>
      </c>
      <c r="E17" s="501">
        <f>IF(ISNUMBER((NºAsuntos!C17+NºAsuntos!E17)/NºAsuntos!G17),(NºAsuntos!C17+NºAsuntos!E17)/NºAsuntos!G17," - ")</f>
        <v>1.194413407821229</v>
      </c>
      <c r="G17" s="524"/>
    </row>
    <row r="18" spans="1:7">
      <c r="A18" s="451" t="str">
        <f>Datos!A18</f>
        <v>Jdos. Violencia contra la mujer</v>
      </c>
      <c r="B18" s="498">
        <f>IF(ISNUMBER(NºAsuntos!G18/NºAsuntos!E18),NºAsuntos!G18/NºAsuntos!E18," - ")</f>
        <v>0.92592592592592593</v>
      </c>
      <c r="C18" s="499">
        <f>IF(ISNUMBER(NºAsuntos!I18/NºAsuntos!G18),NºAsuntos!I18/NºAsuntos!G18," - ")</f>
        <v>0.16</v>
      </c>
      <c r="D18" s="500">
        <f>IF(ISNUMBER('Resol  Asuntos'!D18/NºAsuntos!G18),'Resol  Asuntos'!D18/NºAsuntos!G18," - ")</f>
        <v>6.6666666666666666E-2</v>
      </c>
      <c r="E18" s="501">
        <f>IF(ISNUMBER((NºAsuntos!C18+NºAsuntos!E18)/NºAsuntos!G18),(NºAsuntos!C18+NºAsuntos!E18)/NºAsuntos!G18," - ")</f>
        <v>1.1599999999999999</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1.001031991744066</v>
      </c>
      <c r="C23" s="1159">
        <f>IF(ISNUMBER(NºAsuntos!I23/NºAsuntos!G23),NºAsuntos!I23/NºAsuntos!G23," - ")</f>
        <v>0.19175257731958764</v>
      </c>
      <c r="D23" s="1162">
        <f>IF(ISNUMBER('Resol  Asuntos'!D23/NºAsuntos!G23),'Resol  Asuntos'!D23/NºAsuntos!G23," - ")</f>
        <v>0.14020618556701031</v>
      </c>
      <c r="E23" s="1161">
        <f>IF(ISNUMBER((NºAsuntos!C23+NºAsuntos!E23)/NºAsuntos!G23),(NºAsuntos!C23+NºAsuntos!E23)/NºAsuntos!G23," - ")</f>
        <v>1.1917525773195876</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0.98718730933496035</v>
      </c>
      <c r="C31" s="1102">
        <f>IF(ISNUMBER(NºAsuntos!I31/NºAsuntos!G31),NºAsuntos!I31/NºAsuntos!G31," - ")</f>
        <v>0.50741656365883803</v>
      </c>
      <c r="D31" s="1103">
        <f>IF(ISNUMBER('Resol  Asuntos'!D31/NºAsuntos!G31),'Resol  Asuntos'!D31/NºAsuntos!G31," - ")</f>
        <v>0.16563658838071693</v>
      </c>
      <c r="E31" s="1104">
        <f>IF(ISNUMBER((NºAsuntos!C31+NºAsuntos!E31)/NºAsuntos!G31),(NºAsuntos!C31+NºAsuntos!E31)/NºAsuntos!G31," - ")</f>
        <v>1.5074165636588381</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Vy8xrg/xp2Ut1cLGKVY8FB9s1koxWTEh4u1XKoTJ7fUATUNH+OvbYmriGSf2SB/+e+WO+96HeR1aPU7AHJSuGw==" saltValue="IZ2d4kPzkr+ztB4qGKHBs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ANDALUCIA</v>
      </c>
      <c r="G2" s="369"/>
      <c r="H2" s="368"/>
      <c r="I2" s="368"/>
      <c r="J2" s="368"/>
      <c r="K2" s="368"/>
      <c r="L2" s="368" t="str">
        <f>Criterios!A10 &amp;"  "&amp;Criterios!B10</f>
        <v>Provincias  MALAGA</v>
      </c>
      <c r="N2" s="368" t="str">
        <f>Criterios!A11 &amp;"  "&amp;Criterios!B11</f>
        <v>Resumenes por Partidos Judiciales  ARCHIDONA</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0</v>
      </c>
      <c r="B9" s="190" t="s">
        <v>324</v>
      </c>
      <c r="C9" s="173" t="str">
        <f>Datos!A9</f>
        <v xml:space="preserve">Jdos. 1ª Instancia   </v>
      </c>
      <c r="D9" s="173"/>
      <c r="E9" s="290">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1</v>
      </c>
      <c r="B10" s="300" t="s">
        <v>324</v>
      </c>
      <c r="C10" s="7" t="str">
        <f>Datos!A10</f>
        <v>Jdos. Violencia contra la mujer</v>
      </c>
      <c r="D10" s="7"/>
      <c r="E10" s="290">
        <f>IF(ISNUMBER(Datos!AQ10),Datos!AQ10," - ")</f>
        <v>0</v>
      </c>
      <c r="F10" s="239">
        <f>IF(ISNUMBER(Datos!L10+Datos!K10-Datos!J10-K10),Datos!L10+Datos!K10-Datos!J10-K10," - ")</f>
        <v>1</v>
      </c>
      <c r="G10" s="373">
        <f>IF(ISNUMBER(Datos!I10),Datos!I10," - ")</f>
        <v>1</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2</v>
      </c>
      <c r="X10" s="240">
        <f>IF(ISNUMBER(Datos!Q10),Datos!Q10," - ")</f>
        <v>0</v>
      </c>
      <c r="Y10" s="374">
        <f t="shared" ref="Y10:Y13" si="0">SUM(W10:X10)</f>
        <v>2</v>
      </c>
      <c r="Z10" s="375" t="str">
        <f>IF(ISNUMBER(Datos!CC10),Datos!CC10," - ")</f>
        <v xml:space="preserve"> - </v>
      </c>
      <c r="AA10" s="372">
        <f>IF(ISNUMBER(Datos!L10),Datos!L10,"-")</f>
        <v>3</v>
      </c>
      <c r="AB10" s="374">
        <f>IF(ISNUMBER(Datos!R10),Datos!R10," - ")</f>
        <v>0</v>
      </c>
      <c r="AC10" s="374">
        <f t="shared" ref="AC10:AC13" si="1">IF(ISNUMBER(AA10+AB10),AA10+AB10," - ")</f>
        <v>3</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0</v>
      </c>
      <c r="AJ10" s="245" t="str">
        <f>IF(ISNUMBER(Datos!BW10),Datos!BW10," - ")</f>
        <v xml:space="preserve"> - </v>
      </c>
      <c r="AK10" s="246" t="str">
        <f>IF(ISNUMBER(Datos!BX10),Datos!BX10," - ")</f>
        <v xml:space="preserve"> - </v>
      </c>
      <c r="AL10" s="266">
        <f>IF(ISNUMBER(NºAsuntos!G10/NºAsuntos!E10),NºAsuntos!G10/NºAsuntos!E10," - ")</f>
        <v>0.5</v>
      </c>
      <c r="AM10" s="284">
        <f>IF(ISNUMBER(((NºAsuntos!I10/NºAsuntos!G10)*11)/factor_trimestre),((NºAsuntos!I10/NºAsuntos!G10)*11)/factor_trimestre," - ")</f>
        <v>16.5</v>
      </c>
      <c r="AN10" s="267">
        <f>IF(ISNUMBER('Resol  Asuntos'!D10/NºAsuntos!G10),'Resol  Asuntos'!D10/NºAsuntos!G10," - ")</f>
        <v>0</v>
      </c>
      <c r="AO10" s="268">
        <f>IF(ISNUMBER((NºAsuntos!C10+NºAsuntos!E10)/NºAsuntos!G10),(NºAsuntos!C10+NºAsuntos!E10)/NºAsuntos!G10," - ")</f>
        <v>2.5</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0</v>
      </c>
      <c r="B11" s="300" t="s">
        <v>324</v>
      </c>
      <c r="C11" s="7" t="str">
        <f>Datos!A11</f>
        <v xml:space="preserve">Jdos. Familia                                   </v>
      </c>
      <c r="D11" s="7"/>
      <c r="E11" s="290">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1</v>
      </c>
      <c r="B12" s="300" t="s">
        <v>324</v>
      </c>
      <c r="C12" s="7" t="str">
        <f>Datos!A12</f>
        <v xml:space="preserve">Jdos. 1ª Instª. e Instr.                        </v>
      </c>
      <c r="D12" s="7"/>
      <c r="E12" s="290">
        <f>IF(ISNUMBER(Datos!AQ12),Datos!AQ12," - ")</f>
        <v>1</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150</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175</v>
      </c>
      <c r="Y12" s="374">
        <f t="shared" si="0"/>
        <v>175</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904</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132</v>
      </c>
      <c r="AJ12" s="243" t="str">
        <f>IF(ISNUMBER(Datos!BW12),Datos!BW12," - ")</f>
        <v xml:space="preserve"> - </v>
      </c>
      <c r="AK12" s="242" t="str">
        <f>IF(ISNUMBER(Datos!BX12),Datos!BX12," - ")</f>
        <v xml:space="preserve"> - </v>
      </c>
      <c r="AL12" s="266">
        <f>IF(ISNUMBER(NºAsuntos!G12/NºAsuntos!E12),NºAsuntos!G12/NºAsuntos!E12," - ")</f>
        <v>0.96996996996996998</v>
      </c>
      <c r="AM12" s="284">
        <f>IF(ISNUMBER(((NºAsuntos!I12/NºAsuntos!G12)*11)/factor_trimestre),((NºAsuntos!I12/NºAsuntos!G12)*11)/factor_trimestre," - ")</f>
        <v>10.761609907120743</v>
      </c>
      <c r="AN12" s="267">
        <f>IF(ISNUMBER('Resol  Asuntos'!D12/NºAsuntos!G12),'Resol  Asuntos'!D12/NºAsuntos!G12," - ")</f>
        <v>0.2043343653250774</v>
      </c>
      <c r="AO12" s="268">
        <f>IF(ISNUMBER((NºAsuntos!C12+NºAsuntos!E12)/NºAsuntos!G12),(NºAsuntos!C12+NºAsuntos!E12)/NºAsuntos!G12," - ")</f>
        <v>1.978328173374613</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1</v>
      </c>
      <c r="F14" s="1165">
        <f t="shared" si="5"/>
        <v>1</v>
      </c>
      <c r="G14" s="1166">
        <f t="shared" si="5"/>
        <v>1</v>
      </c>
      <c r="H14" s="1165">
        <f t="shared" si="5"/>
        <v>0</v>
      </c>
      <c r="I14" s="1167">
        <f t="shared" si="5"/>
        <v>0</v>
      </c>
      <c r="J14" s="1167">
        <f t="shared" si="5"/>
        <v>0</v>
      </c>
      <c r="K14" s="1167">
        <f t="shared" si="5"/>
        <v>0</v>
      </c>
      <c r="L14" s="1167">
        <f t="shared" si="5"/>
        <v>150</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2</v>
      </c>
      <c r="X14" s="1167">
        <f t="shared" si="6"/>
        <v>175</v>
      </c>
      <c r="Y14" s="1168">
        <f t="shared" si="6"/>
        <v>177</v>
      </c>
      <c r="Z14" s="1168">
        <f t="shared" si="6"/>
        <v>0</v>
      </c>
      <c r="AA14" s="1168">
        <f t="shared" si="6"/>
        <v>3</v>
      </c>
      <c r="AB14" s="1168">
        <f t="shared" si="6"/>
        <v>904</v>
      </c>
      <c r="AC14" s="1168">
        <f t="shared" si="6"/>
        <v>3</v>
      </c>
      <c r="AD14" s="1168">
        <f t="shared" si="6"/>
        <v>0</v>
      </c>
      <c r="AE14" s="1172">
        <f t="shared" si="6"/>
        <v>0</v>
      </c>
      <c r="AF14" s="1165">
        <f t="shared" si="6"/>
        <v>0</v>
      </c>
      <c r="AG14" s="1173">
        <f t="shared" si="6"/>
        <v>0</v>
      </c>
      <c r="AH14" s="1170">
        <f t="shared" si="6"/>
        <v>0</v>
      </c>
      <c r="AI14" s="1165">
        <f t="shared" si="6"/>
        <v>132</v>
      </c>
      <c r="AJ14" s="1167">
        <f t="shared" si="6"/>
        <v>0</v>
      </c>
      <c r="AK14" s="1170">
        <f>SUBTOTAL(9,AK9:AK13)</f>
        <v>0</v>
      </c>
      <c r="AL14" s="1174">
        <f>IF(ISNUMBER(NºAsuntos!G14/NºAsuntos!E14),NºAsuntos!G14/NºAsuntos!E14," - ")</f>
        <v>0.96716417910447761</v>
      </c>
      <c r="AM14" s="1174">
        <f>IF(ISNUMBER(((NºAsuntos!I14/NºAsuntos!G14)*11)/factor_trimestre),((NºAsuntos!I14/NºAsuntos!G14)*11)/factor_trimestre," - ")</f>
        <v>10.779320987654321</v>
      </c>
      <c r="AN14" s="1175">
        <f>IF(ISNUMBER('Resol  Asuntos'!D14/NºAsuntos!G14),'Resol  Asuntos'!D14/NºAsuntos!G14," - ")</f>
        <v>0.20370370370370369</v>
      </c>
      <c r="AO14" s="1176">
        <f>IF(ISNUMBER((NºAsuntos!C14+NºAsuntos!E14)/NºAsuntos!G14),(NºAsuntos!C14+NºAsuntos!E14)/NºAsuntos!G14," - ")</f>
        <v>1.9799382716049383</v>
      </c>
      <c r="AP14" s="1177" t="str">
        <f t="shared" si="2"/>
        <v xml:space="preserve"> - </v>
      </c>
      <c r="AQ14" s="1177">
        <f>IF(ISNUMBER((H14-W14+K14)/(F14)),(H14-W14+K14)/(F14)," - ")</f>
        <v>-2</v>
      </c>
      <c r="AR14" s="1178">
        <f>IF(ISNUMBER((Datos!P14-Datos!Q14)/(Datos!R14-Datos!P14+Datos!Q14)),(Datos!P14-Datos!Q14)/(Datos!R14-Datos!P14+Datos!Q14)," - ")</f>
        <v>-2.6910656620021529E-2</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0</v>
      </c>
      <c r="B16" s="300" t="s">
        <v>515</v>
      </c>
      <c r="C16" s="173" t="str">
        <f>Datos!A16</f>
        <v xml:space="preserve">Jdos. Instrucción                               </v>
      </c>
      <c r="D16" s="173"/>
      <c r="E16" s="290">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1</v>
      </c>
      <c r="B17" s="300" t="s">
        <v>515</v>
      </c>
      <c r="C17" s="173" t="str">
        <f>Datos!A17</f>
        <v xml:space="preserve">Jdos. 1ª Instª. e Instr.                        </v>
      </c>
      <c r="D17" s="173"/>
      <c r="E17" s="290">
        <f>IF(ISNUMBER(Datos!AQ17),Datos!AQ17," - ")</f>
        <v>1</v>
      </c>
      <c r="F17" s="239">
        <f>IF(ISNUMBER(AA17+W17-Datos!J17-K17),AA17+W17-Datos!J17-K17," - ")</f>
        <v>181</v>
      </c>
      <c r="G17" s="373">
        <f>IF(ISNUMBER(IF(D_I="SI",Datos!I17,Datos!I17+Datos!AC17)),IF(D_I="SI",Datos!I17,Datos!I17+Datos!AC17)," - ")</f>
        <v>181</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31</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f>IF(ISNUMBER(IF(D_I="SI",Datos!K17,Datos!K17+Datos!AE17)),IF(D_I="SI",Datos!K17,Datos!K17+Datos!AE17)," - ")</f>
        <v>895</v>
      </c>
      <c r="X17" s="240">
        <f>IF(ISNUMBER(Datos!Q17),Datos!Q17," - ")</f>
        <v>27</v>
      </c>
      <c r="Y17" s="374">
        <f t="shared" ref="Y17:Y22" si="9">SUM(W17:X17)</f>
        <v>922</v>
      </c>
      <c r="Z17" s="375" t="str">
        <f>IF(ISNUMBER(Datos!CC17),Datos!CC17," - ")</f>
        <v xml:space="preserve"> - </v>
      </c>
      <c r="AA17" s="372">
        <f>IF(ISNUMBER(IF(D_I="SI",Datos!L17,Datos!L17+Datos!AF17)),IF(D_I="SI",Datos!L17,Datos!L17+Datos!AF17)," - ")</f>
        <v>174</v>
      </c>
      <c r="AB17" s="374">
        <f>IF(ISNUMBER(Datos!R17),Datos!R17," - ")</f>
        <v>58</v>
      </c>
      <c r="AC17" s="374">
        <f t="shared" si="8"/>
        <v>232</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131</v>
      </c>
      <c r="AJ17" s="245" t="str">
        <f>IF(ISNUMBER(Datos!BW17),Datos!BW17," - ")</f>
        <v xml:space="preserve"> - </v>
      </c>
      <c r="AK17" s="246" t="str">
        <f>IF(ISNUMBER(Datos!BX17),Datos!BX17," - ")</f>
        <v xml:space="preserve"> - </v>
      </c>
      <c r="AL17" s="266">
        <f>IF(ISNUMBER(NºAsuntos!G17/NºAsuntos!E17),NºAsuntos!G17/NºAsuntos!E17," - ")</f>
        <v>1.007882882882883</v>
      </c>
      <c r="AM17" s="284">
        <f>IF(ISNUMBER(((NºAsuntos!I17/NºAsuntos!G17)*11)/factor_trimestre),((NºAsuntos!I17/NºAsuntos!G17)*11)/factor_trimestre," - ")</f>
        <v>2.1385474860335196</v>
      </c>
      <c r="AN17" s="267">
        <f>IF(ISNUMBER('Resol  Asuntos'!D17/NºAsuntos!G17),'Resol  Asuntos'!D17/NºAsuntos!G17," - ")</f>
        <v>0.14636871508379889</v>
      </c>
      <c r="AO17" s="268">
        <f>IF(ISNUMBER((NºAsuntos!C17+NºAsuntos!E17)/NºAsuntos!G17),(NºAsuntos!C17+NºAsuntos!E17)/NºAsuntos!G17," - ")</f>
        <v>1.194413407821229</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1</v>
      </c>
      <c r="B18" s="300" t="s">
        <v>515</v>
      </c>
      <c r="C18" s="7" t="str">
        <f>Datos!A18</f>
        <v>Jdos. Violencia contra la mujer</v>
      </c>
      <c r="D18" s="7"/>
      <c r="E18" s="290">
        <f>IF(ISNUMBER(Datos!AQ18),Datos!AQ18," - ")</f>
        <v>0</v>
      </c>
      <c r="F18" s="239" t="str">
        <f>IF(ISNUMBER(AA18+W18-H18-K18),AA18+W18-H18-K18," - ")</f>
        <v xml:space="preserve"> - </v>
      </c>
      <c r="G18" s="373">
        <f>IF(ISNUMBER(IF(D_I="SI",Datos!I18,Datos!I18+Datos!AC18)),IF(D_I="SI",Datos!I18,Datos!I18+Datos!AC18)," - ")</f>
        <v>6</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1</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75</v>
      </c>
      <c r="X18" s="240">
        <f>IF(ISNUMBER(Datos!Q18),Datos!Q18," - ")</f>
        <v>1</v>
      </c>
      <c r="Y18" s="374">
        <f t="shared" si="9"/>
        <v>76</v>
      </c>
      <c r="Z18" s="375" t="str">
        <f>IF(ISNUMBER(Datos!CC18),Datos!CC18," - ")</f>
        <v xml:space="preserve"> - </v>
      </c>
      <c r="AA18" s="372">
        <f>IF(ISNUMBER(Datos!L18),Datos!L18,"-")</f>
        <v>12</v>
      </c>
      <c r="AB18" s="374">
        <f>IF(ISNUMBER(Datos!R18),Datos!R18," - ")</f>
        <v>1</v>
      </c>
      <c r="AC18" s="374">
        <f t="shared" si="8"/>
        <v>13</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5</v>
      </c>
      <c r="AJ18" s="245" t="str">
        <f>IF(ISNUMBER(Datos!BW18),Datos!BW18," - ")</f>
        <v xml:space="preserve"> - </v>
      </c>
      <c r="AK18" s="246" t="str">
        <f>IF(ISNUMBER(Datos!BX18),Datos!BX18," - ")</f>
        <v xml:space="preserve"> - </v>
      </c>
      <c r="AL18" s="266">
        <f>IF(ISNUMBER(NºAsuntos!G18/NºAsuntos!E18),NºAsuntos!G18/NºAsuntos!E18," - ")</f>
        <v>0.92592592592592593</v>
      </c>
      <c r="AM18" s="284">
        <f>IF(ISNUMBER(((NºAsuntos!I18/NºAsuntos!G18)*11)/factor_trimestre),((NºAsuntos!I18/NºAsuntos!G18)*11)/factor_trimestre," - ")</f>
        <v>1.76</v>
      </c>
      <c r="AN18" s="267">
        <f>IF(ISNUMBER('Resol  Asuntos'!D18/NºAsuntos!G18),'Resol  Asuntos'!D18/NºAsuntos!G18," - ")</f>
        <v>6.6666666666666666E-2</v>
      </c>
      <c r="AO18" s="268">
        <f>IF(ISNUMBER((NºAsuntos!C18+NºAsuntos!E18)/NºAsuntos!G18),(NºAsuntos!C18+NºAsuntos!E18)/NºAsuntos!G18," - ")</f>
        <v>1.1599999999999999</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1</v>
      </c>
      <c r="F23" s="1165">
        <f>SUBTOTAL(9,F15:F22)</f>
        <v>181</v>
      </c>
      <c r="G23" s="1166">
        <f>SUBTOTAL(9,G16:G22)</f>
        <v>187</v>
      </c>
      <c r="H23" s="1165">
        <f t="shared" ref="H23:O23" si="13">SUBTOTAL(9,H15:H22)</f>
        <v>0</v>
      </c>
      <c r="I23" s="1167">
        <f t="shared" si="13"/>
        <v>0</v>
      </c>
      <c r="J23" s="1167">
        <f t="shared" si="13"/>
        <v>0</v>
      </c>
      <c r="K23" s="1167">
        <f t="shared" si="13"/>
        <v>0</v>
      </c>
      <c r="L23" s="1167">
        <f t="shared" si="13"/>
        <v>32</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970</v>
      </c>
      <c r="X23" s="1167">
        <f t="shared" si="14"/>
        <v>28</v>
      </c>
      <c r="Y23" s="1168">
        <f t="shared" si="14"/>
        <v>998</v>
      </c>
      <c r="Z23" s="1168">
        <f t="shared" si="14"/>
        <v>0</v>
      </c>
      <c r="AA23" s="1168">
        <f t="shared" si="14"/>
        <v>186</v>
      </c>
      <c r="AB23" s="1168">
        <f t="shared" si="14"/>
        <v>59</v>
      </c>
      <c r="AC23" s="1168">
        <f t="shared" si="14"/>
        <v>245</v>
      </c>
      <c r="AD23" s="1168">
        <f t="shared" si="14"/>
        <v>0</v>
      </c>
      <c r="AE23" s="1172">
        <f t="shared" si="14"/>
        <v>0</v>
      </c>
      <c r="AF23" s="1165">
        <f t="shared" si="14"/>
        <v>0</v>
      </c>
      <c r="AG23" s="1173">
        <f t="shared" si="14"/>
        <v>0</v>
      </c>
      <c r="AH23" s="1170">
        <f t="shared" si="14"/>
        <v>0</v>
      </c>
      <c r="AI23" s="1165">
        <f t="shared" si="14"/>
        <v>136</v>
      </c>
      <c r="AJ23" s="1167">
        <f t="shared" si="14"/>
        <v>0</v>
      </c>
      <c r="AK23" s="1170">
        <f t="shared" si="14"/>
        <v>0</v>
      </c>
      <c r="AL23" s="1174">
        <f>IF(ISNUMBER(NºAsuntos!G23/NºAsuntos!E23),NºAsuntos!G23/NºAsuntos!E23," - ")</f>
        <v>1.001031991744066</v>
      </c>
      <c r="AM23" s="1174">
        <f>IF(ISNUMBER(((NºAsuntos!I23/NºAsuntos!G23)*11)/factor_trimestre),((NºAsuntos!I23/NºAsuntos!G23)*11)/factor_trimestre," - ")</f>
        <v>2.109278350515464</v>
      </c>
      <c r="AN23" s="1175">
        <f>IF(ISNUMBER('Resol  Asuntos'!D23/NºAsuntos!G23),'Resol  Asuntos'!D23/NºAsuntos!G23," - ")</f>
        <v>0.14020618556701031</v>
      </c>
      <c r="AO23" s="1176">
        <f>IF(ISNUMBER((NºAsuntos!C23+NºAsuntos!E23)/NºAsuntos!G23),(NºAsuntos!C23+NºAsuntos!E23)/NºAsuntos!G23," - ")</f>
        <v>1.1917525773195876</v>
      </c>
      <c r="AP23" s="1177" t="str">
        <f t="shared" si="2"/>
        <v xml:space="preserve"> - </v>
      </c>
      <c r="AQ23" s="1177">
        <f>IF(ISNUMBER((H23-W23+K23)/(F23)),(H23-W23+K23)/(F23)," - ")</f>
        <v>-5.3591160220994478</v>
      </c>
      <c r="AR23" s="1178">
        <f>IF(ISNUMBER((Datos!P23-Datos!Q23)/(Datos!R23-Datos!P23+Datos!Q23)),(Datos!P23-Datos!Q23)/(Datos!R23-Datos!P23+Datos!Q23)," - ")</f>
        <v>7.2727272727272724E-2</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2</v>
      </c>
      <c r="F31" s="1120">
        <f t="shared" si="20"/>
        <v>182</v>
      </c>
      <c r="G31" s="1121">
        <f t="shared" si="20"/>
        <v>188</v>
      </c>
      <c r="H31" s="1120">
        <f t="shared" si="20"/>
        <v>0</v>
      </c>
      <c r="I31" s="1122">
        <f t="shared" si="20"/>
        <v>0</v>
      </c>
      <c r="J31" s="1122">
        <f t="shared" si="20"/>
        <v>0</v>
      </c>
      <c r="K31" s="1183">
        <f t="shared" si="20"/>
        <v>0</v>
      </c>
      <c r="L31" s="1122">
        <f t="shared" si="20"/>
        <v>182</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972</v>
      </c>
      <c r="X31" s="1121">
        <f t="shared" si="21"/>
        <v>203</v>
      </c>
      <c r="Y31" s="1128">
        <f t="shared" si="21"/>
        <v>1175</v>
      </c>
      <c r="Z31" s="1128">
        <f t="shared" si="21"/>
        <v>0</v>
      </c>
      <c r="AA31" s="1128">
        <f t="shared" si="21"/>
        <v>189</v>
      </c>
      <c r="AB31" s="1128">
        <f t="shared" si="21"/>
        <v>963</v>
      </c>
      <c r="AC31" s="1128">
        <f t="shared" si="21"/>
        <v>248</v>
      </c>
      <c r="AD31" s="1128">
        <f t="shared" si="21"/>
        <v>0</v>
      </c>
      <c r="AE31" s="1130">
        <f t="shared" si="21"/>
        <v>0</v>
      </c>
      <c r="AF31" s="1131">
        <f t="shared" si="21"/>
        <v>0</v>
      </c>
      <c r="AG31" s="1132">
        <f t="shared" si="21"/>
        <v>0</v>
      </c>
      <c r="AH31" s="1130">
        <f t="shared" si="21"/>
        <v>0</v>
      </c>
      <c r="AI31" s="1120">
        <f t="shared" si="21"/>
        <v>268</v>
      </c>
      <c r="AJ31" s="1120">
        <f t="shared" si="21"/>
        <v>0</v>
      </c>
      <c r="AK31" s="1130">
        <f t="shared" si="21"/>
        <v>0</v>
      </c>
      <c r="AL31" s="1186">
        <f>IF(ISNUMBER(NºAsuntos!G31/NºAsuntos!E31),NºAsuntos!G31/NºAsuntos!E31," - ")</f>
        <v>0.98718730933496035</v>
      </c>
      <c r="AM31" s="1187">
        <f>IF(ISNUMBER(((NºAsuntos!I31/NºAsuntos!G31)*11)/factor_trimestre),((NºAsuntos!I31/NºAsuntos!G31)*11)/factor_trimestre," - ")</f>
        <v>5.581582200247218</v>
      </c>
      <c r="AN31" s="1187">
        <f>IF(ISNUMBER('Resol  Asuntos'!D31/NºAsuntos!G31),'Resol  Asuntos'!D31/NºAsuntos!G31," - ")</f>
        <v>0.16563658838071693</v>
      </c>
      <c r="AO31" s="1188">
        <f>IF(ISNUMBER((NºAsuntos!C31+NºAsuntos!E31)/NºAsuntos!G31),(NºAsuntos!C31+NºAsuntos!E31)/NºAsuntos!G31," - ")</f>
        <v>1.5074165636588381</v>
      </c>
      <c r="AP31" s="1189" t="str">
        <f t="shared" si="2"/>
        <v xml:space="preserve"> - </v>
      </c>
      <c r="AQ31" s="1190">
        <f>IF(OR(ISNUMBER(FIND("01",Criterios!A8,1)),ISNUMBER(FIND("02",Criterios!A8,1)),ISNUMBER(FIND("03",Criterios!A8,1)),ISNUMBER(FIND("04",Criterios!A8,1))),(I31-W31+K31)/(F31-K31),(H31-W31+K31)/(F31-K31))</f>
        <v>-5.3406593406593403</v>
      </c>
      <c r="AR31" s="1191">
        <f>IF(ISNUMBER((Datos!P31-Datos!Q31)/(Datos!R31-Datos!P31+Datos!Q31)),(Datos!P31-Datos!Q31)/(Datos!R31-Datos!P31+Datos!Q31)," - ")</f>
        <v>-2.1341463414634148E-2</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53.714285714285715</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0.4188539082916955</v>
      </c>
      <c r="F33" s="276">
        <f>IF(ISNUMBER(STDEV(F8:F30)),STDEV(F8:F30),"-")</f>
        <v>93.210872041123324</v>
      </c>
      <c r="G33" s="277">
        <f>IF(ISNUMBER(STDEV(G8:G30)),STDEV(G8:G30),"-")</f>
        <v>89.042525955699546</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448.64266192064048</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70.32374116490513</v>
      </c>
      <c r="AJ33" s="276">
        <f t="shared" si="24"/>
        <v>0</v>
      </c>
      <c r="AK33" s="278">
        <f t="shared" si="24"/>
        <v>0</v>
      </c>
      <c r="AL33" s="273">
        <f t="shared" si="24"/>
        <v>0.19585415823395655</v>
      </c>
      <c r="AM33" s="274">
        <f t="shared" si="24"/>
        <v>6.2127914444636474</v>
      </c>
      <c r="AN33" s="274">
        <f t="shared" si="24"/>
        <v>8.0227971814246943E-2</v>
      </c>
      <c r="AO33" s="275">
        <f t="shared" si="24"/>
        <v>0.56479922222396917</v>
      </c>
      <c r="AP33" s="317" t="str">
        <f t="shared" si="24"/>
        <v>-</v>
      </c>
      <c r="AQ33" s="318">
        <f t="shared" si="24"/>
        <v>2.3752537180188997</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nRKL58sUko5DrhzvWzmEeUlPH1DzDJg7+MfMRLzHjjweO4qZll6D3cm3q1Sho0Hip4XNcQFTImqH/yVA6mX+yg==" saltValue="J9GIwgEowCvbEH6WRPWAjQ=="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ANDALUCIA</v>
      </c>
      <c r="E2" s="287"/>
    </row>
    <row r="3" spans="2:20" ht="17.25" customHeight="1">
      <c r="C3" s="291"/>
      <c r="D3" s="286" t="str">
        <f>Criterios!A10 &amp;"  "&amp;Criterios!B10</f>
        <v>Provincias  MALAGA</v>
      </c>
      <c r="E3" s="287"/>
    </row>
    <row r="4" spans="2:20" ht="17.25" customHeight="1" thickBot="1">
      <c r="D4" s="286" t="str">
        <f>Criterios!A11 &amp;"  "&amp;Criterios!B11</f>
        <v>Resumenes por Partidos Judiciales  ARCHIDONA</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t="str">
        <f>IF(ISNUMBER((Datos!M9-Datos!W9)/Datos!W9),(Datos!M9-Datos!W9)/Datos!W9," - ")</f>
        <v xml:space="preserve"> - </v>
      </c>
      <c r="I9" s="396" t="str">
        <f>IF(ISNUMBER((Tasas!C9-Datos!BE9)/Datos!BE9),(Tasas!C9-Datos!BE9)/Datos!BE9," - ")</f>
        <v xml:space="preserve"> - </v>
      </c>
      <c r="J9" s="395" t="str">
        <f>IF(ISNUMBER((Tasas!D9-Datos!BF9)/Datos!BF9),(Tasas!D9-Datos!BF9)/Datos!BF9," - ")</f>
        <v xml:space="preserve"> - </v>
      </c>
      <c r="K9" s="397"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324</v>
      </c>
      <c r="C10" s="7" t="str">
        <f>Datos!A10</f>
        <v>Jdos. Violencia contra la mujer</v>
      </c>
      <c r="D10" s="398">
        <f>IF(ISNUMBER((Datos!I10-Datos!S10)/Datos!S10),(Datos!I10-Datos!S10)/Datos!S10," - ")</f>
        <v>0</v>
      </c>
      <c r="E10" s="394">
        <f>IF(ISNUMBER((Datos!J10-Datos!T10)/Datos!T10),(Datos!J10-Datos!T10)/Datos!T10," - ")</f>
        <v>0</v>
      </c>
      <c r="F10" s="394">
        <f>IF(ISNUMBER((Datos!K10-Datos!U10)/Datos!U10),(Datos!K10-Datos!U10)/Datos!U10," - ")</f>
        <v>-0.5</v>
      </c>
      <c r="G10" s="395">
        <f>IF(ISNUMBER((Datos!L10-Datos!V10)/Datos!V10),(Datos!L10-Datos!V10)/Datos!V10," - ")</f>
        <v>2</v>
      </c>
      <c r="H10" s="244">
        <f>IF(ISNUMBER((Datos!M10-Datos!W10)/Datos!W10),(Datos!M10-Datos!W10)/Datos!W10," - ")</f>
        <v>-1</v>
      </c>
      <c r="I10" s="396">
        <f>IF(ISNUMBER((Tasas!C10-Datos!BE10)/Datos!BE10),(Tasas!C10-Datos!BE10)/Datos!BE10," - ")</f>
        <v>5</v>
      </c>
      <c r="J10" s="395">
        <f>IF(ISNUMBER((Tasas!D10-Datos!BF10)/Datos!BF10),(Tasas!D10-Datos!BF10)/Datos!BF10," - ")</f>
        <v>-1</v>
      </c>
      <c r="K10" s="397">
        <f>IF(ISNUMBER((Tasas!E10-Datos!BG10)/Datos!BG10),(Tasas!E10-Datos!BG10)/Datos!BG10," - ")</f>
        <v>1</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t="str">
        <f>IF(ISNUMBER((Datos!M11-Datos!W11)/Datos!W11),(Datos!M11-Datos!W11)/Datos!W11," - ")</f>
        <v xml:space="preserve"> - </v>
      </c>
      <c r="I11" s="396" t="str">
        <f>IF(ISNUMBER((Tasas!C11-Datos!BE11)/Datos!BE11),(Tasas!C11-Datos!BE11)/Datos!BE11," - ")</f>
        <v xml:space="preserve"> - </v>
      </c>
      <c r="J11" s="395" t="str">
        <f>IF(ISNUMBER((Tasas!D11-Datos!BF11)/Datos!BF11),(Tasas!D11-Datos!BF11)/Datos!BF11," - ")</f>
        <v xml:space="preserve"> - </v>
      </c>
      <c r="K11" s="397"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f>IF(ISNUMBER((Datos!M12-Datos!W12)/Datos!W12),(Datos!M12-Datos!W12)/Datos!W12," - ")</f>
        <v>0.40425531914893614</v>
      </c>
      <c r="I12" s="396">
        <f>IF(ISNUMBER((Tasas!C12-Datos!BE12)/Datos!BE12),(Tasas!C12-Datos!BE12)/Datos!BE12," - ")</f>
        <v>-0.24227523826868211</v>
      </c>
      <c r="J12" s="395">
        <f>IF(ISNUMBER((Tasas!D12-Datos!BF12)/Datos!BF12),(Tasas!D12-Datos!BF12)/Datos!BF12," - ")</f>
        <v>-0.42003299901744501</v>
      </c>
      <c r="K12" s="397">
        <f>IF(ISNUMBER((Tasas!E12-Datos!BG12)/Datos!BG12),(Tasas!E12-Datos!BG12)/Datos!BG12," - ")</f>
        <v>-0.13573497310639024</v>
      </c>
      <c r="M12" t="e">
        <f>IF(Monitorios="SI",Datos!CE12,0)</f>
        <v>#REF!</v>
      </c>
      <c r="N12" t="e">
        <f>IF(Monitorios="SI",Datos!CF12,0)</f>
        <v>#REF!</v>
      </c>
      <c r="O12" t="e">
        <f>IF(Monitorios="SI",Datos!CG12,0)</f>
        <v>#REF!</v>
      </c>
      <c r="P12" t="e">
        <f>IF(Monitorios="SI",Datos!CH12,0)</f>
        <v>#REF!</v>
      </c>
      <c r="Q12">
        <f>IF(J_V="SI",0,Datos!AG12)</f>
        <v>21</v>
      </c>
      <c r="R12">
        <f>IF(J_V="SI",0,Datos!AH12)</f>
        <v>98</v>
      </c>
      <c r="S12">
        <f>IF(J_V="SI",0,Datos!AI12)</f>
        <v>101</v>
      </c>
      <c r="T12">
        <f>IF(J_V="SI",0,Datos!AJ12)</f>
        <v>18</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0.36082474226804123</v>
      </c>
      <c r="I14" s="403">
        <f>IF(ISNUMBER((Tasas!C14-Datos!BE14)/Datos!BE14),(Tasas!C14-Datos!BE14)/Datos!BE14," - ")</f>
        <v>-0.2358719513423157</v>
      </c>
      <c r="J14" s="401">
        <f>IF(ISNUMBER((Tasas!D14-Datos!BF14)/Datos!BF14),(Tasas!D14-Datos!BF14)/Datos!BF14," - ")</f>
        <v>-0.42723311546840959</v>
      </c>
      <c r="K14" s="404">
        <f>IF(ISNUMBER((Tasas!E14-Datos!BG14)/Datos!BG14),(Tasas!E14-Datos!BG14)/Datos!BG14," - ")</f>
        <v>-0.13173349190168765</v>
      </c>
      <c r="M14" t="e">
        <f>IF(Monitorios="SI",Datos!CE14,0)</f>
        <v>#REF!</v>
      </c>
      <c r="N14" t="e">
        <f>IF(Monitorios="SI",Datos!CF14,0)</f>
        <v>#REF!</v>
      </c>
      <c r="O14" t="e">
        <f>IF(Monitorios="SI",Datos!CG14,0)</f>
        <v>#REF!</v>
      </c>
      <c r="P14" t="e">
        <f>IF(Monitorios="SI",Datos!CH14,0)</f>
        <v>#REF!</v>
      </c>
      <c r="Q14">
        <f>IF(J_V="SI",0,Datos!AG14)</f>
        <v>21</v>
      </c>
      <c r="R14">
        <f>IF(J_V="SI",0,Datos!AH14)</f>
        <v>98</v>
      </c>
      <c r="S14">
        <f>IF(J_V="SI",0,Datos!AI14)</f>
        <v>101</v>
      </c>
      <c r="T14">
        <f>IF(J_V="SI",0,Datos!AJ14)</f>
        <v>18</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t="str">
        <f>IF(ISNUMBER(
   IF(D_I="SI",(Datos!I16-Datos!S16)/Datos!S16,(Datos!I16+Datos!AC16-(Datos!S16+Datos!AK16))/(Datos!S16+Datos!AK16))
     ),IF(D_I="SI",(Datos!I16-Datos!S16)/Datos!S16,(Datos!I16+Datos!AC16-(Datos!S16+Datos!AK16))/(Datos!S16+Datos!AK16))," - ")</f>
        <v xml:space="preserve"> - </v>
      </c>
      <c r="E16" s="394" t="str">
        <f>IF(ISNUMBER(
   IF(D_I="SI",(Datos!J16-Datos!T16)/Datos!T16,(Datos!J16+Datos!AD16-(Datos!T16+Datos!AL16))/(Datos!T16+Datos!AL16))
     ),IF(D_I="SI",(Datos!J16-Datos!T16)/Datos!T16,(Datos!J16+Datos!AD16-(Datos!T16+Datos!AL16))/(Datos!T16+Datos!AL16))," - ")</f>
        <v xml:space="preserve"> - </v>
      </c>
      <c r="F16" s="394" t="str">
        <f>IF(ISNUMBER(
   IF(D_I="SI",(Datos!K16-Datos!U16)/Datos!U16,(Datos!K16+Datos!AE16-(Datos!U16+Datos!AM16))/(Datos!U16+Datos!AM16))
     ),IF(D_I="SI",(Datos!K16-Datos!U16)/Datos!U16,(Datos!K16+Datos!AE16-(Datos!U16+Datos!AM16))/(Datos!U16+Datos!AM16))," - ")</f>
        <v xml:space="preserve"> - </v>
      </c>
      <c r="G16" s="395"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6" t="str">
        <f>IF(ISNUMBER((Tasas!C16-Datos!BE16)/Datos!BE16),(Tasas!C16-Datos!BE16)/Datos!BE16," - ")</f>
        <v xml:space="preserve"> - </v>
      </c>
      <c r="J16" s="395" t="str">
        <f>IF(ISNUMBER((Tasas!D16-Datos!BF16)/Datos!BF16),(Tasas!D16-Datos!BF16)/Datos!BF16," - ")</f>
        <v xml:space="preserve"> - </v>
      </c>
      <c r="K16" s="397" t="str">
        <f>IF(ISNUMBER((Tasas!E16-Datos!BG16)/Datos!BG16),(Tasas!E16-Datos!BG16)/Datos!BG16," - ")</f>
        <v xml:space="preserve"> - </v>
      </c>
    </row>
    <row r="17" spans="2:20" ht="14.25">
      <c r="B17" s="300" t="s">
        <v>515</v>
      </c>
      <c r="C17" s="7" t="str">
        <f>Datos!A17</f>
        <v xml:space="preserve">Jdos. 1ª Instª. e Instr.                        </v>
      </c>
      <c r="D17" s="398">
        <f>IF(ISNUMBER(
   IF(D_I="SI",(Datos!I17-Datos!S17)/Datos!S17,(Datos!I17+Datos!AC17-(Datos!S17+Datos!AK17))/(Datos!S17+Datos!AK17))
     ),IF(D_I="SI",(Datos!I17-Datos!S17)/Datos!S17,(Datos!I17+Datos!AC17-(Datos!S17+Datos!AK17))/(Datos!S17+Datos!AK17))," - ")</f>
        <v>-7.179487179487179E-2</v>
      </c>
      <c r="E17" s="394">
        <f>IF(ISNUMBER(
   IF(D_I="SI",(Datos!J17-Datos!T17)/Datos!T17,(Datos!J17+Datos!AD17-(Datos!T17+Datos!AL17))/(Datos!T17+Datos!AL17))
     ),IF(D_I="SI",(Datos!J17-Datos!T17)/Datos!T17,(Datos!J17+Datos!AD17-(Datos!T17+Datos!AL17))/(Datos!T17+Datos!AL17))," - ")</f>
        <v>-0.12339585389930899</v>
      </c>
      <c r="F17" s="394">
        <f>IF(ISNUMBER(
   IF(D_I="SI",(Datos!K17-Datos!U17)/Datos!U17,(Datos!K17+Datos!AE17-(Datos!U17+Datos!AM17))/(Datos!U17+Datos!AM17))
     ),IF(D_I="SI",(Datos!K17-Datos!U17)/Datos!U17,(Datos!K17+Datos!AE17-(Datos!U17+Datos!AM17))/(Datos!U17+Datos!AM17))," - ")</f>
        <v>-0.13106796116504854</v>
      </c>
      <c r="G17" s="395">
        <f>IF(ISNUMBER(
   IF(D_I="SI",(Datos!L17-Datos!V17)/Datos!V17,(Datos!L17+Datos!AF17-(Datos!V17+Datos!AN17))/(Datos!V17+Datos!AN17))
     ),IF(D_I="SI",(Datos!L17-Datos!V17)/Datos!V17,(Datos!L17+Datos!AF17-(Datos!V17+Datos!AN17))/(Datos!V17+Datos!AN17))," - ")</f>
        <v>-3.8674033149171269E-2</v>
      </c>
      <c r="H17" s="244">
        <f>IF(ISNUMBER((Datos!M17-Datos!W17)/Datos!W17),(Datos!M17-Datos!W17)/Datos!W17," - ")</f>
        <v>0.37894736842105264</v>
      </c>
      <c r="I17" s="396">
        <f>IF(ISNUMBER((Tasas!C17-Datos!BE17)/Datos!BE17),(Tasas!C17-Datos!BE17)/Datos!BE17," - ")</f>
        <v>0.10633044229760176</v>
      </c>
      <c r="J17" s="395">
        <f>IF(ISNUMBER((Tasas!D17-Datos!BF17)/Datos!BF17),(Tasas!D17-Datos!BF17)/Datos!BF17," - ")</f>
        <v>0.58694501617171435</v>
      </c>
      <c r="K17" s="397">
        <f>IF(ISNUMBER((Tasas!E17-Datos!BG17)/Datos!BG17),(Tasas!E17-Datos!BG17)/Datos!BG17," - ")</f>
        <v>1.8415405675385566E-2</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0.5</v>
      </c>
      <c r="E18" s="394">
        <f>IF(ISNUMBER(
   IF(D_I="SI",(Datos!J18-Datos!T18)/Datos!T18,(Datos!J18+Datos!AD18-(Datos!T18+Datos!AL18))/(Datos!T18+Datos!AL18))
     ),IF(D_I="SI",(Datos!J18-Datos!T18)/Datos!T18,(Datos!J18+Datos!AD18-(Datos!T18+Datos!AL18))/(Datos!T18+Datos!AL18))," - ")</f>
        <v>0.35</v>
      </c>
      <c r="F18" s="394">
        <f>IF(ISNUMBER(
   IF(D_I="SI",(Datos!K18-Datos!U18)/Datos!U18,(Datos!K18+Datos!AE18-(Datos!U18+Datos!AM18))/(Datos!U18+Datos!AM18))
     ),IF(D_I="SI",(Datos!K18-Datos!U18)/Datos!U18,(Datos!K18+Datos!AE18-(Datos!U18+Datos!AM18))/(Datos!U18+Datos!AM18))," - ")</f>
        <v>0.25</v>
      </c>
      <c r="G18" s="395">
        <f>IF(ISNUMBER(
   IF(D_I="SI",(Datos!L18-Datos!V18)/Datos!V18,(Datos!L18+Datos!AF18-(Datos!V18+Datos!AN18))/(Datos!V18+Datos!AN18))
     ),IF(D_I="SI",(Datos!L18-Datos!V18)/Datos!V18,(Datos!L18+Datos!AF18-(Datos!V18+Datos!AN18))/(Datos!V18+Datos!AN18))," - ")</f>
        <v>1</v>
      </c>
      <c r="H18" s="244">
        <f>IF(ISNUMBER((Datos!M18-Datos!W18)/Datos!W18),(Datos!M18-Datos!W18)/Datos!W18," - ")</f>
        <v>0</v>
      </c>
      <c r="I18" s="396">
        <f>IF(ISNUMBER((Tasas!C18-Datos!BE18)/Datos!BE18),(Tasas!C18-Datos!BE18)/Datos!BE18," - ")</f>
        <v>0.6</v>
      </c>
      <c r="J18" s="395">
        <f>IF(ISNUMBER((Tasas!D18-Datos!BF18)/Datos!BF18),(Tasas!D18-Datos!BF18)/Datos!BF18," - ")</f>
        <v>-0.19999999999999996</v>
      </c>
      <c r="K18" s="397">
        <f>IF(ISNUMBER((Tasas!E18-Datos!BG18)/Datos!BG18),(Tasas!E18-Datos!BG18)/Datos!BG18," - ")</f>
        <v>8.7499999999999939E-2</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-6.030150753768844E-2</v>
      </c>
      <c r="E23" s="400">
        <f>IF(ISNUMBER(
   IF(D_I="SI",(Datos!J23-Datos!T23)/Datos!T23,(Datos!J23+Datos!AD23-(Datos!T23+Datos!AL23))/(Datos!T23+Datos!AL23))
     ),IF(D_I="SI",(Datos!J23-Datos!T23)/Datos!T23,(Datos!J23+Datos!AD23-(Datos!T23+Datos!AL23))/(Datos!T23+Datos!AL23))," - ")</f>
        <v>-9.6924510717614168E-2</v>
      </c>
      <c r="F23" s="400">
        <f>IF(ISNUMBER(
   IF(D_I="SI",(Datos!K23-Datos!U23)/Datos!U23,(Datos!K23+Datos!AE23-(Datos!U23+Datos!AM23))/(Datos!U23+Datos!AM23))
     ),IF(D_I="SI",(Datos!K23-Datos!U23)/Datos!U23,(Datos!K23+Datos!AE23-(Datos!U23+Datos!AM23))/(Datos!U23+Datos!AM23))," - ")</f>
        <v>-0.11009174311926606</v>
      </c>
      <c r="G23" s="401">
        <f>IF(ISNUMBER(
   IF(D_I="SI",(Datos!L23-Datos!V23)/Datos!V23,(Datos!L23+Datos!AF23-(Datos!V23+Datos!AN23))/(Datos!V23+Datos!AN23))
     ),IF(D_I="SI",(Datos!L23-Datos!V23)/Datos!V23,(Datos!L23+Datos!AF23-(Datos!V23+Datos!AN23))/(Datos!V23+Datos!AN23))," - ")</f>
        <v>-5.3475935828877002E-3</v>
      </c>
      <c r="H23" s="402">
        <f>IF(ISNUMBER((Datos!M23-Datos!W23)/Datos!W23),(Datos!M23-Datos!W23)/Datos!W23," - ")</f>
        <v>0.36</v>
      </c>
      <c r="I23" s="403">
        <f>IF(ISNUMBER((Tasas!C23-Datos!BE23)/Datos!BE23),(Tasas!C23-Datos!BE23)/Datos!BE23," - ")</f>
        <v>0.11770218865428084</v>
      </c>
      <c r="J23" s="401">
        <f>IF(ISNUMBER((Tasas!D23-Datos!BF23)/Datos!BF23),(Tasas!D23-Datos!BF23)/Datos!BF23," - ")</f>
        <v>0.52824742268041225</v>
      </c>
      <c r="K23" s="404">
        <f>IF(ISNUMBER((Tasas!E23-Datos!BG23)/Datos!BG23),(Tasas!E23-Datos!BG23)/Datos!BG23," - ")</f>
        <v>2.1234519872917003E-2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0.14777618364418937</v>
      </c>
      <c r="E31" s="410">
        <f>IF(ISNUMBER(
   IF(J_V="SI",(Datos!J31-Datos!T31)/Datos!T31,(Datos!J31+Datos!Z31-(Datos!T31+Datos!AH31))/(Datos!T31+Datos!AH31))
     ),IF(J_V="SI",(Datos!J31-Datos!T31)/Datos!T31,(Datos!J31+Datos!Z31-(Datos!T31+Datos!AH31))/(Datos!T31+Datos!AH31))," - ")</f>
        <v>-1.5615615615615615E-2</v>
      </c>
      <c r="F31" s="410">
        <f>IF(ISNUMBER(
   IF(J_V="SI",(Datos!K31-Datos!U31)/Datos!U31,(Datos!K31+Datos!AA31-(Datos!U31+Datos!AI31))/(Datos!U31+Datos!AI31))
     ),IF(J_V="SI",(Datos!K31-Datos!U31)/Datos!U31,(Datos!K31+Datos!AA31-(Datos!U31+Datos!AI31))/(Datos!U31+Datos!AI31))," - ")</f>
        <v>3.1887755102040817E-2</v>
      </c>
      <c r="G31" s="411">
        <f>IF(ISNUMBER(
   IF(J_V="SI",(Datos!L31-Datos!V31)/Datos!V31,(Datos!L31+Datos!AB31-(Datos!V31+Datos!AJ31))/(Datos!V31+Datos!AJ31))
     ),IF(J_V="SI",(Datos!L31-Datos!V31)/Datos!V31,(Datos!L31+Datos!AB31-(Datos!V31+Datos!AJ31))/(Datos!V31+Datos!AJ31))," - ")</f>
        <v>2.6249999999999999E-2</v>
      </c>
      <c r="H31" s="412">
        <f>IF(ISNUMBER((Datos!M31-Datos!W31)/Datos!W31),(Datos!M31-Datos!W31)/Datos!W31," - ")</f>
        <v>0.3604060913705584</v>
      </c>
      <c r="I31" s="409">
        <f>IF(ISNUMBER((Tasas!C31-Datos!BE31)/Datos!BE31),(Tasas!C31-Datos!BE31)/Datos!BE31," - ")</f>
        <v>-5.4635352286774895E-3</v>
      </c>
      <c r="J31" s="410">
        <f>IF(ISNUMBER((Tasas!D31-Datos!BF31)/Datos!BF31),(Tasas!D31-Datos!BF31)/Datos!BF31," - ")</f>
        <v>-3.8080849700132841E-2</v>
      </c>
      <c r="K31" s="411">
        <f>IF(ISNUMBER((Tasas!E31-Datos!BG31)/Datos!BG31),(Tasas!E31-Datos!BG31)/Datos!BG31," - ")</f>
        <v>6.8974251357241173E-4</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0.27383237384837406</v>
      </c>
      <c r="E33" s="303">
        <f t="shared" si="1"/>
        <v>0.21826336963946147</v>
      </c>
      <c r="F33" s="303">
        <f t="shared" si="1"/>
        <v>0.30631657837866438</v>
      </c>
      <c r="G33" s="304">
        <f t="shared" si="1"/>
        <v>0.96903254878086265</v>
      </c>
      <c r="H33" s="310">
        <f t="shared" si="1"/>
        <v>0.55217340707210072</v>
      </c>
      <c r="I33" s="302">
        <f t="shared" si="1"/>
        <v>2.0364877106442187</v>
      </c>
      <c r="J33" s="303">
        <f t="shared" si="1"/>
        <v>0.61281515820985533</v>
      </c>
      <c r="K33" s="304">
        <f t="shared" si="1"/>
        <v>0.42919660037807023</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xsJkc0Qnqqa1amYfmwY0GlSo93quRtDyCojiTxftIBDiOGTF0R+uhY42zFCMVHjo82hFj8xidUcgfDb2w2tiBw==" saltValue="BBc5E2hvaCGEhFSSYTaJlg=="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ANDALUCIA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0</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t="str">
        <f>IF(ISNUMBER(NºAsuntos!I9/NºAsuntos!G9),(NºAsuntos!I9/NºAsuntos!G9)*11," - ")</f>
        <v xml:space="preserve"> - </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1</v>
      </c>
      <c r="B10" s="1464" t="str">
        <f>Datos!A10</f>
        <v>Jdos. Violencia contra la mujer</v>
      </c>
      <c r="C10" s="239">
        <f t="shared" si="0"/>
        <v>1</v>
      </c>
      <c r="D10" s="239">
        <f>IF(ISNUMBER(Datos!I10),Datos!I10," - ")</f>
        <v>1</v>
      </c>
      <c r="E10" s="240">
        <f>IF(ISNUMBER(Datos!J10),Datos!J10," - ")</f>
        <v>4</v>
      </c>
      <c r="F10" s="240">
        <f>IF(ISNUMBER(Datos!K10),Datos!K10," - ")</f>
        <v>2</v>
      </c>
      <c r="G10" s="1392" t="str">
        <f>IF(Datos!E10&lt;&gt;"",Datos!E10,Datos!D10)</f>
        <v>37</v>
      </c>
      <c r="H10" s="241">
        <f>IF(ISNUMBER(Datos!L10),Datos!L10," - ")</f>
        <v>3</v>
      </c>
      <c r="I10" s="1402" t="str">
        <f>IF(ISNUMBER(Datos!AS10/Datos!BM10),Datos!AS10/Datos!BM10," - ")</f>
        <v xml:space="preserve"> - </v>
      </c>
      <c r="J10" s="1403">
        <f>IF(ISNUMBER(Datos!BY10/Datos!CN10),Datos!BY10/Datos!CN10," - ")</f>
        <v>0</v>
      </c>
      <c r="K10" s="244">
        <f t="shared" ref="K10:K13" si="1">IF(ISNUMBER((E10-F10)/C10),(E10-F10)/C10," - ")</f>
        <v>2</v>
      </c>
      <c r="L10" s="1404">
        <f>IF(ISNUMBER(NºAsuntos!I10/NºAsuntos!G10),(NºAsuntos!I10/NºAsuntos!G10)*11," - ")</f>
        <v>16.5</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0</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t="str">
        <f>IF(ISNUMBER(NºAsuntos!I11/NºAsuntos!G11),(NºAsuntos!I11/NºAsuntos!G11)*11," - ")</f>
        <v xml:space="preserve"> - </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1</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f>IF(ISNUMBER(NºAsuntos!I12/NºAsuntos!G12),(NºAsuntos!I12/NºAsuntos!G12)*11," - ")</f>
        <v>10.761609907120743</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1</v>
      </c>
      <c r="D14" s="1409">
        <f>SUBTOTAL(9,D9:D13)</f>
        <v>1</v>
      </c>
      <c r="E14" s="1410">
        <f>SUBTOTAL(9,E9:E13)</f>
        <v>4</v>
      </c>
      <c r="F14" s="1411">
        <f>SUBTOTAL(9,F9:F13)</f>
        <v>2</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0</v>
      </c>
      <c r="B16" s="1464"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2" t="str">
        <f>IF(Datos!E16&lt;&gt;"",Datos!E16,Datos!D16)</f>
        <v>03</v>
      </c>
      <c r="H16" s="241" t="str">
        <f>IF(ISNUMBER(IF(D_I="SI",Datos!L16,Datos!L16+Datos!AF16)),IF(D_I="SI",Datos!L16,Datos!L16+Datos!AF16)," - ")</f>
        <v xml:space="preserve"> - </v>
      </c>
      <c r="I16" s="1402" t="str">
        <f>IF(ISNUMBER(Datos!AS16/Datos!BM16),Datos!AS16/Datos!BM16," - ")</f>
        <v xml:space="preserve"> - </v>
      </c>
      <c r="J16" s="1403">
        <f>IF(ISNUMBER(Datos!BY16/Datos!CN16),Datos!BY16/Datos!CN16," - ")</f>
        <v>0</v>
      </c>
      <c r="K16" s="244" t="str">
        <f t="shared" ref="K16:K22" si="3">IF(ISNUMBER((E16-F16)/C16),(E16-F16)/C16," - ")</f>
        <v xml:space="preserve"> - </v>
      </c>
      <c r="L16" s="1404" t="str">
        <f>IF(ISNUMBER(NºAsuntos!I16/NºAsuntos!G16),(NºAsuntos!I16/NºAsuntos!G16)*11," - ")</f>
        <v xml:space="preserve"> - </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1</v>
      </c>
      <c r="B17" s="1464" t="str">
        <f>Datos!A17</f>
        <v xml:space="preserve">Jdos. 1ª Instª. e Instr.                        </v>
      </c>
      <c r="C17" s="239">
        <f t="shared" si="2"/>
        <v>181</v>
      </c>
      <c r="D17" s="239">
        <f>IF(ISNUMBER(IF(D_I="SI",Datos!I17,Datos!I17+Datos!AC17)),IF(D_I="SI",Datos!I17,Datos!I17+Datos!AC17)," - ")</f>
        <v>181</v>
      </c>
      <c r="E17" s="240">
        <f>IF(ISNUMBER(IF(D_I="SI",Datos!J17,Datos!J17+Datos!AD17)),IF(D_I="SI",Datos!J17,Datos!J17+Datos!AD17)," - ")</f>
        <v>888</v>
      </c>
      <c r="F17" s="240">
        <f>IF(ISNUMBER(IF(D_I="SI",Datos!K17,Datos!K17+Datos!AE17)),IF(D_I="SI",Datos!K17,Datos!K17+Datos!AE17)," - ")</f>
        <v>895</v>
      </c>
      <c r="G17" s="1392" t="str">
        <f>IF(Datos!E17&lt;&gt;"",Datos!E17,Datos!D17)</f>
        <v>04</v>
      </c>
      <c r="H17" s="241">
        <f>IF(ISNUMBER(IF(D_I="SI",Datos!L17,Datos!L17+Datos!AF17)),IF(D_I="SI",Datos!L17,Datos!L17+Datos!AF17)," - ")</f>
        <v>174</v>
      </c>
      <c r="I17" s="1402" t="str">
        <f>IF(ISNUMBER(Datos!AS17/Datos!BM17),Datos!AS17/Datos!BM17," - ")</f>
        <v xml:space="preserve"> - </v>
      </c>
      <c r="J17" s="1403">
        <f>IF(ISNUMBER(Datos!BY17/Datos!CN17),Datos!BY17/Datos!CN17," - ")</f>
        <v>0</v>
      </c>
      <c r="K17" s="244">
        <f t="shared" si="3"/>
        <v>-3.8674033149171269E-2</v>
      </c>
      <c r="L17" s="1404">
        <f>IF(ISNUMBER(NºAsuntos!I17/NºAsuntos!G17),(NºAsuntos!I17/NºAsuntos!G17)*11," - ")</f>
        <v>2.1385474860335196</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1</v>
      </c>
      <c r="B18" s="1464" t="str">
        <f>Datos!A18</f>
        <v>Jdos. Violencia contra la mujer</v>
      </c>
      <c r="C18" s="239">
        <f t="shared" si="2"/>
        <v>6</v>
      </c>
      <c r="D18" s="239">
        <f>IF(ISNUMBER(IF(D_I="SI",Datos!I18,Datos!I18+Datos!AC18)),IF(D_I="SI",Datos!I18,Datos!I18+Datos!AC18)," - ")</f>
        <v>6</v>
      </c>
      <c r="E18" s="240">
        <f>IF(ISNUMBER(IF(D_I="SI",Datos!J18,Datos!J18+Datos!AD18)),IF(D_I="SI",Datos!J18,Datos!J18+Datos!AD18)," - ")</f>
        <v>81</v>
      </c>
      <c r="F18" s="240">
        <f>IF(ISNUMBER(IF(D_I="SI",Datos!K18,Datos!K18+Datos!AE18)),IF(D_I="SI",Datos!K18,Datos!K18+Datos!AE18)," - ")</f>
        <v>75</v>
      </c>
      <c r="G18" s="1392" t="str">
        <f>IF(Datos!E18&lt;&gt;"",Datos!E18,Datos!D18)</f>
        <v>37</v>
      </c>
      <c r="H18" s="241">
        <f>IF(ISNUMBER(IF(D_I="SI",Datos!L18,Datos!L18+Datos!AF18)),IF(D_I="SI",Datos!L18,Datos!L18+Datos!AF18)," - ")</f>
        <v>12</v>
      </c>
      <c r="I18" s="1402" t="str">
        <f>IF(ISNUMBER(Datos!AS18/Datos!BM18),Datos!AS18/Datos!BM18," - ")</f>
        <v xml:space="preserve"> - </v>
      </c>
      <c r="J18" s="1403" t="str">
        <f>IF(ISNUMBER((Datos!BY18+Datos!BZ18)/Datos!CN18),(Datos!BY18+Datos!BZ18)/Datos!CN18," - ")</f>
        <v xml:space="preserve"> - </v>
      </c>
      <c r="K18" s="244">
        <f t="shared" si="3"/>
        <v>1</v>
      </c>
      <c r="L18" s="1404">
        <f>IF(ISNUMBER(NºAsuntos!I18/NºAsuntos!G18),(NºAsuntos!I18/NºAsuntos!G18)*11," - ")</f>
        <v>1.76</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187</v>
      </c>
      <c r="D23" s="1409">
        <f>SUBTOTAL(9,D16:D22)</f>
        <v>187</v>
      </c>
      <c r="E23" s="1410">
        <f>SUBTOTAL(9,E16:E22)</f>
        <v>969</v>
      </c>
      <c r="F23" s="1410">
        <f>SUBTOTAL(9,F16:F22)</f>
        <v>970</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188</v>
      </c>
      <c r="D31" s="1437">
        <f>SUBTOTAL(9,D9:D30)</f>
        <v>188</v>
      </c>
      <c r="E31" s="1438">
        <f>SUBTOTAL(9,E9:E30)</f>
        <v>973</v>
      </c>
      <c r="F31" s="1438">
        <f>SUBTOTAL(9,F9:F30)</f>
        <v>972</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PK0OmxkNwFF8yrLsnk/mrFG3oWqxd+E9FZOyy44dd2iU2pfnqbGduVfDI+dAjTDSWE4HDDZCF3bzlX8qsD1hXQ==" saltValue="DagNDr/T+tCzL5pIHZQoPA=="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SDKLeCUjaanS2KGf9zS6OS7xLheMTFdzGs0MKXvZc7LezYmp/beq6mTQixZDV0Ow040e4aaW8hhkkC/gi9Bq4A==" saltValue="YCTISiJpJJtjR0Q2JcIf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t="s">
        <v>1105</v>
      </c>
      <c r="J9" s="194" t="s">
        <v>1086</v>
      </c>
      <c r="K9" s="194" t="s">
        <v>1106</v>
      </c>
      <c r="L9" s="194" t="s">
        <v>1125</v>
      </c>
      <c r="M9" s="194" t="s">
        <v>656</v>
      </c>
      <c r="N9" s="194" t="s">
        <v>672</v>
      </c>
      <c r="O9" s="194" t="s">
        <v>289</v>
      </c>
      <c r="P9" s="194" t="s">
        <v>57</v>
      </c>
      <c r="Q9" s="194" t="s">
        <v>58</v>
      </c>
      <c r="R9" s="194" t="s">
        <v>125</v>
      </c>
      <c r="S9" s="194"/>
      <c r="T9" s="194"/>
      <c r="U9" s="194"/>
      <c r="V9" s="194"/>
      <c r="W9" s="194"/>
      <c r="X9" s="201"/>
      <c r="Y9" s="204" t="s">
        <v>182</v>
      </c>
      <c r="Z9" s="194" t="s">
        <v>183</v>
      </c>
      <c r="AA9" s="194" t="s">
        <v>184</v>
      </c>
      <c r="AB9" s="194" t="s">
        <v>185</v>
      </c>
      <c r="AC9" s="194"/>
      <c r="AD9" s="194"/>
      <c r="AE9" s="194"/>
      <c r="AF9" s="201"/>
      <c r="AG9" s="204"/>
      <c r="AH9" s="194"/>
      <c r="AI9" s="194"/>
      <c r="AJ9" s="205"/>
      <c r="AK9" s="193"/>
      <c r="AL9" s="194"/>
      <c r="AM9" s="194"/>
      <c r="AN9" s="201"/>
      <c r="AO9" s="282">
        <v>0</v>
      </c>
      <c r="AP9" s="167">
        <v>0</v>
      </c>
      <c r="AQ9" s="167">
        <v>0</v>
      </c>
      <c r="AR9" s="206">
        <v>0</v>
      </c>
      <c r="AS9" s="380" t="s">
        <v>1084</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1</v>
      </c>
      <c r="J10" s="194">
        <v>4</v>
      </c>
      <c r="K10" s="194">
        <v>2</v>
      </c>
      <c r="L10" s="194">
        <v>3</v>
      </c>
      <c r="M10" s="194">
        <v>0</v>
      </c>
      <c r="N10" s="194">
        <v>0</v>
      </c>
      <c r="O10" s="194">
        <v>0</v>
      </c>
      <c r="P10" s="194">
        <v>0</v>
      </c>
      <c r="Q10" s="194">
        <v>0</v>
      </c>
      <c r="R10" s="194">
        <v>0</v>
      </c>
      <c r="S10" s="194">
        <v>1</v>
      </c>
      <c r="T10" s="194">
        <v>4</v>
      </c>
      <c r="U10" s="194">
        <v>4</v>
      </c>
      <c r="V10" s="194">
        <v>1</v>
      </c>
      <c r="W10" s="194">
        <v>3</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1" t="s">
        <v>1078</v>
      </c>
      <c r="AT10" s="205"/>
      <c r="AU10" s="213"/>
      <c r="AV10" s="205"/>
      <c r="AW10" s="213"/>
      <c r="AX10" s="205"/>
      <c r="AY10" s="138">
        <f t="shared" ref="AY10:BC10" si="0">IF(ISNUMBER(S10),S10," - ")</f>
        <v>1</v>
      </c>
      <c r="AZ10" s="139">
        <f t="shared" si="0"/>
        <v>4</v>
      </c>
      <c r="BA10" s="139">
        <f t="shared" si="0"/>
        <v>4</v>
      </c>
      <c r="BB10" s="139">
        <f t="shared" si="0"/>
        <v>1</v>
      </c>
      <c r="BC10" s="135">
        <f t="shared" si="0"/>
        <v>3</v>
      </c>
      <c r="BD10" s="136">
        <f>IF(ISNUMBER(BA10/AZ10),BA10/AZ10," - ")</f>
        <v>1</v>
      </c>
      <c r="BE10" s="137">
        <f>IF(ISNUMBER(BB10/BA10),BB10/BA10, " - ")</f>
        <v>0.25</v>
      </c>
      <c r="BF10" s="137">
        <f>IF(ISNUMBER(BC10/BA10),BC10/BA10, " - ")</f>
        <v>0.75</v>
      </c>
      <c r="BG10" s="209">
        <f>IF(ISNUMBER((AY10+AZ10)/BA10),(AY10+AZ10)/BA10," - ")</f>
        <v>1.25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t="s">
        <v>1105</v>
      </c>
      <c r="J11" s="196" t="s">
        <v>1086</v>
      </c>
      <c r="K11" s="196" t="s">
        <v>1106</v>
      </c>
      <c r="L11" s="196" t="s">
        <v>1125</v>
      </c>
      <c r="M11" s="196" t="s">
        <v>656</v>
      </c>
      <c r="N11" s="196" t="s">
        <v>672</v>
      </c>
      <c r="O11" s="194" t="s">
        <v>289</v>
      </c>
      <c r="P11" s="196" t="s">
        <v>57</v>
      </c>
      <c r="Q11" s="196" t="s">
        <v>58</v>
      </c>
      <c r="R11" s="196" t="s">
        <v>125</v>
      </c>
      <c r="S11" s="196"/>
      <c r="T11" s="196"/>
      <c r="U11" s="196"/>
      <c r="V11" s="196"/>
      <c r="W11" s="196"/>
      <c r="X11" s="202"/>
      <c r="Y11" s="204" t="s">
        <v>182</v>
      </c>
      <c r="Z11" s="194" t="s">
        <v>183</v>
      </c>
      <c r="AA11" s="194" t="s">
        <v>184</v>
      </c>
      <c r="AB11" s="194" t="s">
        <v>185</v>
      </c>
      <c r="AC11" s="196"/>
      <c r="AD11" s="196"/>
      <c r="AE11" s="196"/>
      <c r="AF11" s="202"/>
      <c r="AG11" s="215"/>
      <c r="AH11" s="196"/>
      <c r="AI11" s="196"/>
      <c r="AJ11" s="216"/>
      <c r="AK11" s="195"/>
      <c r="AL11" s="196"/>
      <c r="AM11" s="196"/>
      <c r="AN11" s="202"/>
      <c r="AO11" s="283">
        <v>0</v>
      </c>
      <c r="AP11" s="168">
        <v>0</v>
      </c>
      <c r="AQ11" s="168">
        <v>0</v>
      </c>
      <c r="AR11" s="167">
        <v>0</v>
      </c>
      <c r="AS11" s="382" t="s">
        <v>1087</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v>594</v>
      </c>
      <c r="J12" s="196">
        <v>591</v>
      </c>
      <c r="K12" s="196">
        <v>585</v>
      </c>
      <c r="L12" s="196">
        <v>600</v>
      </c>
      <c r="M12" s="196">
        <v>132</v>
      </c>
      <c r="N12" s="196">
        <v>239</v>
      </c>
      <c r="O12" s="194">
        <v>381</v>
      </c>
      <c r="P12" s="196">
        <v>150</v>
      </c>
      <c r="Q12" s="196">
        <v>175</v>
      </c>
      <c r="R12" s="196">
        <v>904</v>
      </c>
      <c r="S12" s="196">
        <v>476</v>
      </c>
      <c r="T12" s="196">
        <v>490</v>
      </c>
      <c r="U12" s="196">
        <v>373</v>
      </c>
      <c r="V12" s="196">
        <v>594</v>
      </c>
      <c r="W12" s="196">
        <v>94</v>
      </c>
      <c r="X12" s="202">
        <v>167</v>
      </c>
      <c r="Y12" s="204">
        <v>18</v>
      </c>
      <c r="Z12" s="194">
        <v>75</v>
      </c>
      <c r="AA12" s="194">
        <v>61</v>
      </c>
      <c r="AB12" s="194">
        <v>32</v>
      </c>
      <c r="AC12" s="196">
        <v>0</v>
      </c>
      <c r="AD12" s="196">
        <v>0</v>
      </c>
      <c r="AE12" s="196">
        <v>0</v>
      </c>
      <c r="AF12" s="202">
        <v>0</v>
      </c>
      <c r="AG12" s="215">
        <v>21</v>
      </c>
      <c r="AH12" s="196">
        <v>98</v>
      </c>
      <c r="AI12" s="196">
        <v>101</v>
      </c>
      <c r="AJ12" s="216">
        <v>18</v>
      </c>
      <c r="AK12" s="195">
        <v>0</v>
      </c>
      <c r="AL12" s="196">
        <v>0</v>
      </c>
      <c r="AM12" s="196">
        <v>0</v>
      </c>
      <c r="AN12" s="202">
        <v>0</v>
      </c>
      <c r="AO12" s="283">
        <v>1</v>
      </c>
      <c r="AP12" s="168">
        <v>1</v>
      </c>
      <c r="AQ12" s="168">
        <v>1</v>
      </c>
      <c r="AR12" s="167">
        <v>1</v>
      </c>
      <c r="AS12" s="382" t="s">
        <v>1089</v>
      </c>
      <c r="AT12" s="216"/>
      <c r="AU12" s="215"/>
      <c r="AV12" s="216"/>
      <c r="AW12" s="215"/>
      <c r="AX12" s="216"/>
      <c r="AY12" s="136">
        <f t="shared" si="1"/>
        <v>497</v>
      </c>
      <c r="AZ12" s="137">
        <f t="shared" si="1"/>
        <v>588</v>
      </c>
      <c r="BA12" s="137">
        <f t="shared" si="1"/>
        <v>474</v>
      </c>
      <c r="BB12" s="137">
        <f t="shared" si="1"/>
        <v>612</v>
      </c>
      <c r="BC12" s="135">
        <f>IF(ISNUMBER(X12),X12," - ")</f>
        <v>167</v>
      </c>
      <c r="BD12" s="136">
        <f t="shared" si="2"/>
        <v>0.80612244897959184</v>
      </c>
      <c r="BE12" s="137">
        <f t="shared" si="3"/>
        <v>1.2911392405063291</v>
      </c>
      <c r="BF12" s="137">
        <f t="shared" si="4"/>
        <v>0.35232067510548526</v>
      </c>
      <c r="BG12" s="209">
        <f t="shared" si="5"/>
        <v>2.2890295358649788</v>
      </c>
      <c r="BH12" s="168">
        <v>1</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595</v>
      </c>
      <c r="J14" s="197">
        <f t="shared" si="7"/>
        <v>595</v>
      </c>
      <c r="K14" s="197">
        <f t="shared" si="7"/>
        <v>587</v>
      </c>
      <c r="L14" s="197">
        <f t="shared" si="7"/>
        <v>603</v>
      </c>
      <c r="M14" s="197">
        <f t="shared" si="7"/>
        <v>132</v>
      </c>
      <c r="N14" s="197">
        <f t="shared" si="7"/>
        <v>239</v>
      </c>
      <c r="O14" s="197">
        <f t="shared" si="7"/>
        <v>381</v>
      </c>
      <c r="P14" s="197">
        <f t="shared" si="7"/>
        <v>150</v>
      </c>
      <c r="Q14" s="197">
        <f t="shared" si="7"/>
        <v>175</v>
      </c>
      <c r="R14" s="197">
        <f t="shared" si="7"/>
        <v>904</v>
      </c>
      <c r="S14" s="197">
        <f t="shared" si="7"/>
        <v>477</v>
      </c>
      <c r="T14" s="197">
        <f t="shared" si="7"/>
        <v>494</v>
      </c>
      <c r="U14" s="197">
        <f t="shared" si="7"/>
        <v>377</v>
      </c>
      <c r="V14" s="197">
        <f t="shared" si="7"/>
        <v>595</v>
      </c>
      <c r="W14" s="197">
        <f t="shared" si="7"/>
        <v>97</v>
      </c>
      <c r="X14" s="197">
        <f t="shared" si="7"/>
        <v>167</v>
      </c>
      <c r="Y14" s="197">
        <f t="shared" si="7"/>
        <v>18</v>
      </c>
      <c r="Z14" s="197">
        <f t="shared" si="7"/>
        <v>75</v>
      </c>
      <c r="AA14" s="197">
        <f t="shared" si="7"/>
        <v>61</v>
      </c>
      <c r="AB14" s="197">
        <f t="shared" si="7"/>
        <v>32</v>
      </c>
      <c r="AC14" s="197">
        <f t="shared" si="7"/>
        <v>0</v>
      </c>
      <c r="AD14" s="197">
        <f t="shared" si="7"/>
        <v>0</v>
      </c>
      <c r="AE14" s="197">
        <f t="shared" si="7"/>
        <v>0</v>
      </c>
      <c r="AF14" s="197">
        <f>SUBTOTAL(9,AF9:AF13)</f>
        <v>0</v>
      </c>
      <c r="AG14" s="197">
        <f t="shared" ref="AG14:AT14" si="8">SUBTOTAL(9,AG8:AG13)</f>
        <v>21</v>
      </c>
      <c r="AH14" s="197">
        <f t="shared" si="8"/>
        <v>98</v>
      </c>
      <c r="AI14" s="197">
        <f t="shared" si="8"/>
        <v>101</v>
      </c>
      <c r="AJ14" s="197">
        <f t="shared" si="8"/>
        <v>18</v>
      </c>
      <c r="AK14" s="197">
        <f t="shared" si="8"/>
        <v>0</v>
      </c>
      <c r="AL14" s="197">
        <f t="shared" si="8"/>
        <v>0</v>
      </c>
      <c r="AM14" s="197">
        <f t="shared" si="8"/>
        <v>0</v>
      </c>
      <c r="AN14" s="197">
        <f t="shared" si="8"/>
        <v>0</v>
      </c>
      <c r="AO14" s="197">
        <f t="shared" si="8"/>
        <v>2</v>
      </c>
      <c r="AP14" s="197">
        <f t="shared" si="8"/>
        <v>1</v>
      </c>
      <c r="AQ14" s="197">
        <f t="shared" si="8"/>
        <v>1</v>
      </c>
      <c r="AR14" s="197">
        <f t="shared" si="8"/>
        <v>1</v>
      </c>
      <c r="AS14" s="197">
        <f t="shared" si="8"/>
        <v>0</v>
      </c>
      <c r="AT14" s="197">
        <f t="shared" si="8"/>
        <v>0</v>
      </c>
      <c r="AU14" s="217"/>
      <c r="AV14" s="142"/>
      <c r="AW14" s="217"/>
      <c r="AX14" s="142"/>
      <c r="AY14" s="197">
        <f>SUBTOTAL(9,AY8:AY13)</f>
        <v>498</v>
      </c>
      <c r="AZ14" s="197">
        <f>SUBTOTAL(9,AZ8:AZ13)</f>
        <v>592</v>
      </c>
      <c r="BA14" s="197">
        <f>SUBTOTAL(9,BA8:BA13)</f>
        <v>478</v>
      </c>
      <c r="BB14" s="197">
        <f>SUBTOTAL(9,BB8:BB13)</f>
        <v>613</v>
      </c>
      <c r="BC14" s="197">
        <f>SUBTOTAL(9,BC8:BC13)</f>
        <v>170</v>
      </c>
      <c r="BD14" s="219">
        <f>IF(ISNUMBER(BA14/AZ14),BA14/AZ14," - ")</f>
        <v>0.80743243243243246</v>
      </c>
      <c r="BE14" s="220">
        <f>IF(ISNUMBER(BB14/BA14),BB14/BA14, " - ")</f>
        <v>1.2824267782426779</v>
      </c>
      <c r="BF14" s="220">
        <f>IF(ISNUMBER(BC14/BA14),BC14/BA14, " - ")</f>
        <v>0.35564853556485354</v>
      </c>
      <c r="BG14" s="221">
        <f>IF(ISNUMBER((AY14+AZ14)/BA14),(AY14+AZ14)/BA14," - ")</f>
        <v>2.2803347280334729</v>
      </c>
      <c r="BH14" s="153">
        <f>SUBTOTAL(9,BH8:BH13)</f>
        <v>2</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t="s">
        <v>654</v>
      </c>
      <c r="J16" s="196" t="s">
        <v>650</v>
      </c>
      <c r="K16" s="196" t="s">
        <v>651</v>
      </c>
      <c r="L16" s="196" t="s">
        <v>652</v>
      </c>
      <c r="M16" s="196" t="s">
        <v>658</v>
      </c>
      <c r="N16" s="196" t="s">
        <v>203</v>
      </c>
      <c r="O16" s="194" t="s">
        <v>290</v>
      </c>
      <c r="P16" s="196" t="s">
        <v>636</v>
      </c>
      <c r="Q16" s="196" t="s">
        <v>637</v>
      </c>
      <c r="R16" s="196" t="s">
        <v>638</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2" t="s">
        <v>707</v>
      </c>
      <c r="AT16" s="216" t="s">
        <v>428</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v>181</v>
      </c>
      <c r="J17" s="196">
        <v>888</v>
      </c>
      <c r="K17" s="196">
        <v>895</v>
      </c>
      <c r="L17" s="196">
        <v>174</v>
      </c>
      <c r="M17" s="196">
        <v>131</v>
      </c>
      <c r="N17" s="196">
        <v>443</v>
      </c>
      <c r="O17" s="194">
        <v>13</v>
      </c>
      <c r="P17" s="196">
        <v>31</v>
      </c>
      <c r="Q17" s="196">
        <v>27</v>
      </c>
      <c r="R17" s="196">
        <v>58</v>
      </c>
      <c r="S17" s="196">
        <v>195</v>
      </c>
      <c r="T17" s="196">
        <v>1013</v>
      </c>
      <c r="U17" s="196">
        <v>1030</v>
      </c>
      <c r="V17" s="196">
        <v>181</v>
      </c>
      <c r="W17" s="196">
        <v>95</v>
      </c>
      <c r="X17" s="202">
        <v>704</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1</v>
      </c>
      <c r="AP17" s="168">
        <v>1</v>
      </c>
      <c r="AQ17" s="168">
        <v>1</v>
      </c>
      <c r="AR17" s="168">
        <v>1</v>
      </c>
      <c r="AS17" s="382" t="s">
        <v>653</v>
      </c>
      <c r="AT17" s="216"/>
      <c r="AU17" s="215"/>
      <c r="AV17" s="216"/>
      <c r="AW17" s="215"/>
      <c r="AX17" s="216"/>
      <c r="AY17" s="136">
        <f t="shared" si="10"/>
        <v>195</v>
      </c>
      <c r="AZ17" s="137">
        <f t="shared" si="10"/>
        <v>1013</v>
      </c>
      <c r="BA17" s="137">
        <f t="shared" si="10"/>
        <v>1030</v>
      </c>
      <c r="BB17" s="137">
        <f t="shared" si="10"/>
        <v>181</v>
      </c>
      <c r="BC17" s="135">
        <f>IF(ISNUMBER(W17),W17," - ")</f>
        <v>95</v>
      </c>
      <c r="BD17" s="136">
        <f t="shared" ref="BD17:BD22" si="12">IF(ISNUMBER(BA17/AZ17),BA17/AZ17," - ")</f>
        <v>1.016781836130306</v>
      </c>
      <c r="BE17" s="137">
        <f t="shared" ref="BE17:BE22" si="13">IF(ISNUMBER(BB17/BA17),BB17/BA17, " - ")</f>
        <v>0.17572815533980582</v>
      </c>
      <c r="BF17" s="137">
        <f t="shared" ref="BF17:BF22" si="14">IF(ISNUMBER(BC17/BA17),BC17/BA17, " - ")</f>
        <v>9.2233009708737865E-2</v>
      </c>
      <c r="BG17" s="209">
        <f t="shared" si="11"/>
        <v>1.1728155339805826</v>
      </c>
      <c r="BH17" s="168">
        <v>1</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6</v>
      </c>
      <c r="J18" s="196">
        <v>81</v>
      </c>
      <c r="K18" s="196">
        <v>75</v>
      </c>
      <c r="L18" s="196">
        <v>12</v>
      </c>
      <c r="M18" s="196">
        <v>5</v>
      </c>
      <c r="N18" s="196">
        <v>49</v>
      </c>
      <c r="O18" s="196">
        <v>0</v>
      </c>
      <c r="P18" s="196">
        <v>1</v>
      </c>
      <c r="Q18" s="196">
        <v>1</v>
      </c>
      <c r="R18" s="196">
        <v>1</v>
      </c>
      <c r="S18" s="196">
        <v>4</v>
      </c>
      <c r="T18" s="196">
        <v>60</v>
      </c>
      <c r="U18" s="196">
        <v>60</v>
      </c>
      <c r="V18" s="196">
        <v>6</v>
      </c>
      <c r="W18" s="196">
        <v>5</v>
      </c>
      <c r="X18" s="202">
        <v>47</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1" t="s">
        <v>1077</v>
      </c>
      <c r="AT18" s="223"/>
      <c r="AU18" s="213"/>
      <c r="AV18" s="223"/>
      <c r="AW18" s="213"/>
      <c r="AX18" s="223"/>
      <c r="AY18" s="138">
        <f t="shared" ref="AY18:BB19" si="15">IF(ISNUMBER(S18),S18," - ")</f>
        <v>4</v>
      </c>
      <c r="AZ18" s="139">
        <f t="shared" si="15"/>
        <v>60</v>
      </c>
      <c r="BA18" s="139">
        <f t="shared" si="15"/>
        <v>60</v>
      </c>
      <c r="BB18" s="139">
        <f t="shared" si="15"/>
        <v>6</v>
      </c>
      <c r="BC18" s="135">
        <f>IF(ISNUMBER(W18),W18," - ")</f>
        <v>5</v>
      </c>
      <c r="BD18" s="136">
        <f>IF(ISNUMBER(BA18/AZ18),BA18/AZ18," - ")</f>
        <v>1</v>
      </c>
      <c r="BE18" s="137">
        <f>IF(ISNUMBER(BB18/BA18),BB18/BA18, " - ")</f>
        <v>0.1</v>
      </c>
      <c r="BF18" s="137">
        <f>IF(ISNUMBER(BC18/BA18),BC18/BA18, " - ")</f>
        <v>8.3333333333333329E-2</v>
      </c>
      <c r="BG18" s="209">
        <f>IF(ISNUMBER((AY18+AZ18)/BA18),(AY18+AZ18)/BA18," - ")</f>
        <v>1.0666666666666667</v>
      </c>
      <c r="BH18" s="168">
        <v>1</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187</v>
      </c>
      <c r="J23" s="197">
        <f t="shared" si="21"/>
        <v>969</v>
      </c>
      <c r="K23" s="197">
        <f t="shared" si="21"/>
        <v>970</v>
      </c>
      <c r="L23" s="197">
        <f t="shared" si="21"/>
        <v>186</v>
      </c>
      <c r="M23" s="197">
        <f t="shared" si="21"/>
        <v>136</v>
      </c>
      <c r="N23" s="197">
        <f t="shared" si="21"/>
        <v>492</v>
      </c>
      <c r="O23" s="197">
        <f t="shared" si="21"/>
        <v>13</v>
      </c>
      <c r="P23" s="197">
        <f t="shared" si="21"/>
        <v>32</v>
      </c>
      <c r="Q23" s="197">
        <f t="shared" si="21"/>
        <v>28</v>
      </c>
      <c r="R23" s="197">
        <f t="shared" si="21"/>
        <v>59</v>
      </c>
      <c r="S23" s="197">
        <f t="shared" si="21"/>
        <v>199</v>
      </c>
      <c r="T23" s="197">
        <f t="shared" si="21"/>
        <v>1073</v>
      </c>
      <c r="U23" s="197">
        <f t="shared" si="21"/>
        <v>1090</v>
      </c>
      <c r="V23" s="197">
        <f t="shared" si="21"/>
        <v>187</v>
      </c>
      <c r="W23" s="197">
        <f t="shared" si="21"/>
        <v>100</v>
      </c>
      <c r="X23" s="197">
        <f t="shared" si="21"/>
        <v>751</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2</v>
      </c>
      <c r="AP23" s="197">
        <f t="shared" si="21"/>
        <v>1</v>
      </c>
      <c r="AQ23" s="197">
        <f t="shared" si="21"/>
        <v>1</v>
      </c>
      <c r="AR23" s="197">
        <f t="shared" si="21"/>
        <v>1</v>
      </c>
      <c r="AS23" s="197">
        <f t="shared" si="21"/>
        <v>0</v>
      </c>
      <c r="AT23" s="197">
        <f t="shared" si="21"/>
        <v>0</v>
      </c>
      <c r="AU23" s="217"/>
      <c r="AV23" s="142"/>
      <c r="AW23" s="217"/>
      <c r="AX23" s="142"/>
      <c r="AY23" s="197">
        <f>SUBTOTAL(9,AY15:AY22)</f>
        <v>199</v>
      </c>
      <c r="AZ23" s="197">
        <f>SUBTOTAL(9,AZ15:AZ22)</f>
        <v>1073</v>
      </c>
      <c r="BA23" s="197">
        <f>SUBTOTAL(9,BA15:BA22)</f>
        <v>1090</v>
      </c>
      <c r="BB23" s="197">
        <f>SUBTOTAL(9,BB15:BB22)</f>
        <v>187</v>
      </c>
      <c r="BC23" s="197">
        <f>SUBTOTAL(9,BC15:BC22)</f>
        <v>100</v>
      </c>
      <c r="BD23" s="219">
        <f>IF(ISNUMBER(BA23/AZ23),BA23/AZ23," - ")</f>
        <v>1.0158434296365331</v>
      </c>
      <c r="BE23" s="220">
        <f>IF(ISNUMBER(BB23/BA23),BB23/BA23, " - ")</f>
        <v>0.17155963302752295</v>
      </c>
      <c r="BF23" s="220">
        <f>IF(ISNUMBER(BC23/BA23),BC23/BA23, " - ")</f>
        <v>9.1743119266055051E-2</v>
      </c>
      <c r="BG23" s="221">
        <f>IF(ISNUMBER((AY23+AZ23)/BA23),(AY23+AZ23)/BA23," - ")</f>
        <v>1.1669724770642202</v>
      </c>
      <c r="BH23" s="197">
        <f>SUBTOTAL(9,BH15:BH22)</f>
        <v>2</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782</v>
      </c>
      <c r="J31" s="144">
        <f t="shared" si="36"/>
        <v>1564</v>
      </c>
      <c r="K31" s="144">
        <f t="shared" si="36"/>
        <v>1557</v>
      </c>
      <c r="L31" s="144">
        <f t="shared" si="36"/>
        <v>789</v>
      </c>
      <c r="M31" s="144">
        <f t="shared" si="36"/>
        <v>268</v>
      </c>
      <c r="N31" s="144">
        <f t="shared" si="36"/>
        <v>731</v>
      </c>
      <c r="O31" s="144">
        <f t="shared" si="36"/>
        <v>394</v>
      </c>
      <c r="P31" s="144">
        <f t="shared" si="36"/>
        <v>182</v>
      </c>
      <c r="Q31" s="144">
        <f t="shared" si="36"/>
        <v>203</v>
      </c>
      <c r="R31" s="144">
        <f t="shared" si="36"/>
        <v>963</v>
      </c>
      <c r="S31" s="144">
        <f t="shared" si="36"/>
        <v>676</v>
      </c>
      <c r="T31" s="144">
        <f t="shared" si="36"/>
        <v>1567</v>
      </c>
      <c r="U31" s="144">
        <f t="shared" si="36"/>
        <v>1467</v>
      </c>
      <c r="V31" s="144">
        <f t="shared" si="36"/>
        <v>782</v>
      </c>
      <c r="W31" s="144">
        <f t="shared" si="36"/>
        <v>197</v>
      </c>
      <c r="X31" s="144">
        <f t="shared" si="36"/>
        <v>918</v>
      </c>
      <c r="Y31" s="144">
        <f t="shared" si="36"/>
        <v>18</v>
      </c>
      <c r="Z31" s="144">
        <f t="shared" si="36"/>
        <v>75</v>
      </c>
      <c r="AA31" s="144">
        <f t="shared" si="36"/>
        <v>61</v>
      </c>
      <c r="AB31" s="144">
        <f t="shared" si="36"/>
        <v>32</v>
      </c>
      <c r="AC31" s="144">
        <f t="shared" si="36"/>
        <v>0</v>
      </c>
      <c r="AD31" s="144">
        <f t="shared" si="36"/>
        <v>0</v>
      </c>
      <c r="AE31" s="144">
        <f t="shared" si="36"/>
        <v>0</v>
      </c>
      <c r="AF31" s="144">
        <f t="shared" si="36"/>
        <v>0</v>
      </c>
      <c r="AG31" s="144">
        <f t="shared" si="36"/>
        <v>21</v>
      </c>
      <c r="AH31" s="144">
        <f t="shared" si="36"/>
        <v>98</v>
      </c>
      <c r="AI31" s="144">
        <f t="shared" si="36"/>
        <v>101</v>
      </c>
      <c r="AJ31" s="144">
        <f t="shared" si="36"/>
        <v>18</v>
      </c>
      <c r="AK31" s="144">
        <f t="shared" si="36"/>
        <v>0</v>
      </c>
      <c r="AL31" s="144">
        <f t="shared" si="36"/>
        <v>0</v>
      </c>
      <c r="AM31" s="144">
        <f t="shared" si="36"/>
        <v>0</v>
      </c>
      <c r="AN31" s="224">
        <f t="shared" si="36"/>
        <v>0</v>
      </c>
      <c r="AO31" s="225">
        <v>2</v>
      </c>
      <c r="AP31" s="225">
        <v>1</v>
      </c>
      <c r="AQ31" s="225">
        <v>1</v>
      </c>
      <c r="AR31" s="225">
        <v>1</v>
      </c>
      <c r="AS31" s="166">
        <f t="shared" si="36"/>
        <v>0</v>
      </c>
      <c r="AT31" s="166">
        <f t="shared" si="36"/>
        <v>0</v>
      </c>
      <c r="AU31" s="225"/>
      <c r="AV31" s="226"/>
      <c r="AW31" s="225"/>
      <c r="AX31" s="226"/>
      <c r="AY31" s="143">
        <f>SUBTOTAL(9,AY9:AY30)</f>
        <v>697</v>
      </c>
      <c r="AZ31" s="144">
        <f>SUBTOTAL(9,AZ9:AZ30)</f>
        <v>1665</v>
      </c>
      <c r="BA31" s="144">
        <f>SUBTOTAL(9,BA9:BA30)</f>
        <v>1568</v>
      </c>
      <c r="BB31" s="144">
        <f>SUBTOTAL(9,BB9:BB30)</f>
        <v>800</v>
      </c>
      <c r="BC31" s="145">
        <f>SUBTOTAL(9,BC9:BC30)</f>
        <v>270</v>
      </c>
      <c r="BD31" s="227">
        <f>IF(ISNUMBER(BA31/AZ31),BA31/AZ31," - ")</f>
        <v>0.94174174174174174</v>
      </c>
      <c r="BE31" s="224">
        <f>IF(ISNUMBER(BB31/BA31),BB31/BA31, " - ")</f>
        <v>0.51020408163265307</v>
      </c>
      <c r="BF31" s="224">
        <f>IF(ISNUMBER(BC31/BA31),BC31/BA31, " - ")</f>
        <v>0.17219387755102042</v>
      </c>
      <c r="BG31" s="145">
        <f>IF(ISNUMBER((AY31+AZ31)/BA31),(AY31+AZ31)/BA31," - ")</f>
        <v>1.5063775510204083</v>
      </c>
      <c r="BH31" s="225">
        <f>SUBTOTAL(9,BH9:BH30)</f>
        <v>4</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jkwvVn/N++pGQCUeIdNVKeW07+pfzQkewDEvVKjXJyvUK07T+ki9h4WE0vpUE6NNP+FismGWSjrMdAcddepYIw==" saltValue="row0TZv9oKAIcWdoYqN1bw=="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E93ZoUEtv/zEiDtnv99oll8CtmCMw64uHTKI73X0R6uK/Udug7+WzeyqRJV4KsjYcAS58N+T6ffNbgdwHsoaLQ==" saltValue="I7ioL+HnkQkv7ikjlER9LQ=="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ANDALUCIA</v>
      </c>
      <c r="F1" s="582"/>
    </row>
    <row r="2" spans="1:72" ht="16.5" customHeight="1">
      <c r="C2" s="571" t="str">
        <f>Criterios!A10 &amp;"  "&amp;Criterios!B10 &amp; "  " &amp; IF(NOT(ISBLANK(Criterios!A11)),Criterios!A11 &amp;"  "&amp;Criterios!B11,"")</f>
        <v>Provincias  MALAGA  Resumenes por Partidos Judiciales  ARCHIDONA</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0</v>
      </c>
      <c r="B9" s="749" t="s">
        <v>324</v>
      </c>
      <c r="C9" s="770" t="str">
        <f>Datos!A9</f>
        <v xml:space="preserve">Jdos. 1ª Instancia   </v>
      </c>
      <c r="D9" s="597"/>
      <c r="E9" s="553">
        <f>IF(ISNUMBER(Datos!AQ9),Datos!AQ9," - ")</f>
        <v>0</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t="str">
        <f>IF(ISNUMBER(Datos!Z9),Datos!Z9," - ")</f>
        <v xml:space="preserve"> - </v>
      </c>
      <c r="O9" s="553"/>
      <c r="P9" s="553"/>
      <c r="Q9" s="551">
        <f>IF(ISNUMBER(Datos!P9),Datos!P9,0)</f>
        <v>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t="str">
        <f>IF(ISNUMBER(Datos!Q9),Datos!Q9," - ")</f>
        <v xml:space="preserve"> - </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t="str">
        <f>IF(ISNUMBER(Datos!AB9),Datos!AB9,"-")</f>
        <v>-</v>
      </c>
      <c r="AI9" s="553" t="str">
        <f>IF(ISNUMBER(Datos!CD9),Datos!CD9,"-")</f>
        <v>-</v>
      </c>
      <c r="AJ9" s="553" t="str">
        <f>IF(ISNUMBER(Datos!EN9),Datos!EN9," - ")</f>
        <v xml:space="preserve"> - </v>
      </c>
      <c r="AK9" s="553"/>
      <c r="AL9" s="554"/>
      <c r="AM9" s="771" t="str">
        <f>IF(ISNUMBER(Datos!R9),Datos!R9," - ")</f>
        <v xml:space="preserve"> - </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t="str">
        <f>IF(ISNUMBER(Datos!M9),Datos!M9," - ")</f>
        <v xml:space="preserve"> - </v>
      </c>
      <c r="BD9" s="697" t="str">
        <f>IF(ISNUMBER(Datos!N9),Datos!N9," - ")</f>
        <v xml:space="preserve"> - </v>
      </c>
      <c r="BE9" s="697" t="str">
        <f>IF(ISNUMBER(Datos!BW9),Datos!BW9," - ")</f>
        <v xml:space="preserve"> - </v>
      </c>
      <c r="BF9" s="767" t="str">
        <f>IF(ISNUMBER(Datos!BX9),Datos!BX9," - ")</f>
        <v xml:space="preserve"> - </v>
      </c>
      <c r="BG9" s="768" t="str">
        <f>IF(ISNUMBER(IF(J_V="SI",Datos!K9/Datos!J9,(Datos!K9+Datos!AA9)/(Datos!J9+Datos!Z9))),IF(J_V="SI",Datos!K9/Datos!J9,(Datos!K9+Datos!AA9)/(Datos!J9+Datos!Z9))," - ")</f>
        <v xml:space="preserve"> - </v>
      </c>
      <c r="BH9" s="769" t="str">
        <f>IF(ISNUMBER(((IF(J_V="SI",Datos!L9/Datos!K9,(Datos!L9+Datos!AB9)/(Datos!K9+Datos!AA9)))*11)/factor_trimestre),((IF(J_V="SI",Datos!L9/Datos!K9,(Datos!L9+Datos!AB9)/(Datos!K9+Datos!AA9)))*11)/factor_trimestre," - ")</f>
        <v xml:space="preserve"> - </v>
      </c>
      <c r="BI9" s="768"/>
      <c r="BJ9" s="559" t="str">
        <f>IF(ISNUMBER(Datos!CI9/Datos!CJ9),Datos!CI9/Datos!CJ9," - ")</f>
        <v xml:space="preserve"> - </v>
      </c>
      <c r="BK9" s="753" t="str">
        <f>IF(ISNUMBER(Datos!CJ9),Datos!CJ9," - ")</f>
        <v xml:space="preserve"> - </v>
      </c>
      <c r="BL9" s="559" t="str">
        <f>IF(ISNUMBER((J9-AB9+L9)/(F9)),(J9-AB9+L9)/(F9)," - ")</f>
        <v xml:space="preserve"> - </v>
      </c>
      <c r="BM9" s="772" t="str">
        <f>IF(ISNUMBER((Datos!P9-Datos!Q9+Datos!DE9)/(Datos!R9-Datos!P9+Datos!Q9-Datos!DE9)),(Datos!P9-Datos!Q9+Datos!DE9)/(Datos!R9-Datos!P9+Datos!Q9-Datos!DE9)," - ")</f>
        <v xml:space="preserve"> - </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1</v>
      </c>
      <c r="B10" s="750" t="s">
        <v>324</v>
      </c>
      <c r="C10" s="751" t="str">
        <f>Datos!A10</f>
        <v>Jdos. Violencia contra la mujer</v>
      </c>
      <c r="D10" s="605"/>
      <c r="E10" s="553">
        <f>IF(ISNUMBER(Datos!AQ10),Datos!AQ10," - ")</f>
        <v>0</v>
      </c>
      <c r="F10" s="556">
        <f>IF(ISNUMBER(Datos!L10+Datos!K10-Datos!J10),Datos!L10+Datos!K10-Datos!J10," - ")</f>
        <v>1</v>
      </c>
      <c r="G10" s="547">
        <f>IF(ISNUMBER(Datos!I10),Datos!I10," - ")</f>
        <v>1</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0</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2</v>
      </c>
      <c r="AC10" s="551">
        <f>IF(ISNUMBER(Datos!Q10),Datos!Q10," - ")</f>
        <v>0</v>
      </c>
      <c r="AD10" s="553"/>
      <c r="AE10" s="567"/>
      <c r="AF10" s="555">
        <f>IF(ISNUMBER(Datos!L10),Datos!L10,"-")</f>
        <v>3</v>
      </c>
      <c r="AG10" s="553"/>
      <c r="AH10" s="553"/>
      <c r="AI10" s="553"/>
      <c r="AJ10" s="553"/>
      <c r="AK10" s="553"/>
      <c r="AL10" s="554"/>
      <c r="AM10" s="771">
        <f>IF(ISNUMBER(Datos!R10),Datos!R10," - ")</f>
        <v>0</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0</v>
      </c>
      <c r="BD10" s="697">
        <f>IF(ISNUMBER(Datos!N10),Datos!N10," - ")</f>
        <v>0</v>
      </c>
      <c r="BE10" s="697" t="str">
        <f>IF(ISNUMBER(Datos!BW10),Datos!BW10," - ")</f>
        <v xml:space="preserve"> - </v>
      </c>
      <c r="BF10" s="767" t="str">
        <f>IF(ISNUMBER(Datos!BX10),Datos!BX10," - ")</f>
        <v xml:space="preserve"> - </v>
      </c>
      <c r="BG10" s="768">
        <f>IF(ISNUMBER(Datos!K10/Datos!J10),Datos!K10/Datos!J10," - ")</f>
        <v>0.5</v>
      </c>
      <c r="BH10" s="769">
        <f>IF(ISNUMBER(((Datos!L10/Datos!K10)*11)/factor_trimestre),((Datos!L10/Datos!K10)*11)/factor_trimestre," - ")</f>
        <v>16.5</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t="str">
        <f>IF(ISNUMBER((Datos!P10-Datos!Q10+Datos!DE10)/(Datos!R10-Datos!P10+Datos!Q10-Datos!DE10)),(Datos!P10-Datos!Q10+Datos!DE10)/(Datos!R10-Datos!P10+Datos!Q10-Datos!DE10)," - ")</f>
        <v xml:space="preserve"> - </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0</v>
      </c>
      <c r="B11" s="750" t="s">
        <v>324</v>
      </c>
      <c r="C11" s="751" t="str">
        <f>Datos!A11</f>
        <v xml:space="preserve">Jdos. Familia                                   </v>
      </c>
      <c r="D11" s="605"/>
      <c r="E11" s="553">
        <f>IF(ISNUMBER(Datos!AQ11),Datos!AQ11," - ")</f>
        <v>0</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t="str">
        <f>IF(ISNUMBER(Datos!Z11),Datos!Z11," - ")</f>
        <v xml:space="preserve"> - </v>
      </c>
      <c r="O11" s="553"/>
      <c r="P11" s="553"/>
      <c r="Q11" s="551">
        <f>IF(ISNUMBER(Datos!P11),Datos!P11,0)</f>
        <v>0</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t="str">
        <f>IF(ISNUMBER(Datos!Q11),Datos!Q11," - ")</f>
        <v xml:space="preserve"> - </v>
      </c>
      <c r="AD11" s="553"/>
      <c r="AE11" s="567"/>
      <c r="AF11" s="555" t="str">
        <f>IF(ISNUMBER(IF(J_V="SI",Datos!L11,Datos!L11+Datos!AB11)-IF(Monitorios="SI",Datos!CD11,0)),
                          IF(J_V="SI",Datos!L11,Datos!L11+Datos!AB11)-IF(Monitorios="SI",Datos!CD11,0),
                          " - ")</f>
        <v xml:space="preserve"> - </v>
      </c>
      <c r="AG11" s="553"/>
      <c r="AH11" s="553" t="str">
        <f>IF(ISNUMBER(Datos!AB11),Datos!AB11,"-")</f>
        <v>-</v>
      </c>
      <c r="AI11" s="553"/>
      <c r="AJ11" s="553"/>
      <c r="AK11" s="553"/>
      <c r="AL11" s="554"/>
      <c r="AM11" s="771" t="str">
        <f>IF(ISNUMBER(Datos!R11),Datos!R11," - ")</f>
        <v xml:space="preserve"> - </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t="str">
        <f>IF(ISNUMBER(Datos!M11),Datos!M11," - ")</f>
        <v xml:space="preserve"> - </v>
      </c>
      <c r="BD11" s="697" t="str">
        <f>IF(ISNUMBER(Datos!N11),Datos!N11," - ")</f>
        <v xml:space="preserve"> - </v>
      </c>
      <c r="BE11" s="697" t="str">
        <f>IF(ISNUMBER(Datos!BW11),Datos!BW11," - ")</f>
        <v xml:space="preserve"> - </v>
      </c>
      <c r="BF11" s="767" t="str">
        <f>IF(ISNUMBER(Datos!BX11),Datos!BX11," - ")</f>
        <v xml:space="preserve"> - </v>
      </c>
      <c r="BG11" s="768" t="str">
        <f>IF(ISNUMBER(IF(J_V="SI",Datos!K11/Datos!J11,(Datos!K11+Datos!AA11)/(Datos!J11+Datos!Z11))),IF(J_V="SI",Datos!K11/Datos!J11,(Datos!K11+Datos!AA11)/(Datos!J11+Datos!Z11))," - ")</f>
        <v xml:space="preserve"> - </v>
      </c>
      <c r="BH11" s="769" t="str">
        <f>IF(ISNUMBER(((IF(J_V="SI",Datos!L11/Datos!K11,(Datos!L11+Datos!AB11)/(Datos!K11+Datos!AA11)))*11)/factor_trimestre),((IF(J_V="SI",Datos!L11/Datos!K11,(Datos!L11+Datos!AB11)/(Datos!K11+Datos!AA11)))*11)/factor_trimestre," - ")</f>
        <v xml:space="preserve"> - </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t="str">
        <f>IF(ISNUMBER((Datos!P11-Datos!Q11+Datos!DE11)/(Datos!R11-Datos!P11+Datos!Q11-Datos!DE11)),(Datos!P11-Datos!Q11+Datos!DE11)/(Datos!R11-Datos!P11+Datos!Q11-Datos!DE11)," - ")</f>
        <v xml:space="preserve"> - </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1</v>
      </c>
      <c r="B12" s="750" t="s">
        <v>324</v>
      </c>
      <c r="C12" s="751" t="str">
        <f>Datos!A12</f>
        <v xml:space="preserve">Jdos. 1ª Instª. e Instr.                        </v>
      </c>
      <c r="D12" s="605"/>
      <c r="E12" s="553">
        <f>IF(ISNUMBER(Datos!AQ12),Datos!AQ12," - ")</f>
        <v>1</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f>IF(ISNUMBER(Datos!Z12),Datos!Z12," - ")</f>
        <v>75</v>
      </c>
      <c r="O12" s="553"/>
      <c r="P12" s="553"/>
      <c r="Q12" s="551">
        <f>IF(ISNUMBER(Datos!P12),Datos!P12,0)</f>
        <v>150</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f>IF(ISNUMBER(Datos!Q12),Datos!Q12," - ")</f>
        <v>175</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f>IF(ISNUMBER(Datos!AB12),Datos!AB12,"-")</f>
        <v>32</v>
      </c>
      <c r="AI12" s="553" t="str">
        <f>IF(ISNUMBER(Datos!CD12),Datos!CD12,"-")</f>
        <v>-</v>
      </c>
      <c r="AJ12" s="553" t="str">
        <f>IF(ISNUMBER(Datos!EN12),Datos!EN12," - ")</f>
        <v xml:space="preserve"> - </v>
      </c>
      <c r="AK12" s="553"/>
      <c r="AL12" s="554"/>
      <c r="AM12" s="771">
        <f>IF(ISNUMBER(Datos!R12),Datos!R12," - ")</f>
        <v>904</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f>IF(ISNUMBER(Datos!M12),Datos!M12," - ")</f>
        <v>132</v>
      </c>
      <c r="BD12" s="697">
        <f>IF(ISNUMBER(Datos!N12),Datos!N12," - ")</f>
        <v>239</v>
      </c>
      <c r="BE12" s="697" t="str">
        <f>IF(ISNUMBER(Datos!BW12),Datos!BW12," - ")</f>
        <v xml:space="preserve"> - </v>
      </c>
      <c r="BF12" s="767" t="str">
        <f>IF(ISNUMBER(Datos!BX12),Datos!BX12," - ")</f>
        <v xml:space="preserve"> - </v>
      </c>
      <c r="BG12" s="768">
        <f>IF(ISNUMBER(IF(J_V="SI",Datos!K12/Datos!J12,(Datos!K12+Datos!AA12)/(Datos!J12+Datos!Z12))),IF(J_V="SI",Datos!K12/Datos!J12,(Datos!K12+Datos!AA12)/(Datos!J12+Datos!Z12))," - ")</f>
        <v>0.96996996996996998</v>
      </c>
      <c r="BH12" s="769">
        <f>IF(ISNUMBER(((IF(J_V="SI",Datos!L12/Datos!K12,(Datos!L12+Datos!AB12)/(Datos!K12+Datos!AA12)))*11)/factor_trimestre),((IF(J_V="SI",Datos!L12/Datos!K12,(Datos!L12+Datos!AB12)/(Datos!K12+Datos!AA12)))*11)/factor_trimestre," - ")</f>
        <v>10.761609907120743</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f>IF(ISNUMBER((Datos!P12-Datos!Q12+Datos!DE12)/(Datos!R12-Datos!P12+Datos!Q12-Datos!DE12)),(Datos!P12-Datos!Q12+Datos!DE12)/(Datos!R12-Datos!P12+Datos!Q12-Datos!DE12)," - ")</f>
        <v>-2.6910656620021529E-2</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1</v>
      </c>
      <c r="F14" s="1200">
        <f t="shared" si="1"/>
        <v>1</v>
      </c>
      <c r="G14" s="1200">
        <f t="shared" si="1"/>
        <v>1</v>
      </c>
      <c r="H14" s="1201">
        <f t="shared" si="1"/>
        <v>0</v>
      </c>
      <c r="I14" s="1200">
        <f t="shared" si="1"/>
        <v>0</v>
      </c>
      <c r="J14" s="1167">
        <f t="shared" si="1"/>
        <v>0</v>
      </c>
      <c r="K14" s="1167">
        <f t="shared" si="1"/>
        <v>0</v>
      </c>
      <c r="L14" s="1201">
        <f t="shared" si="1"/>
        <v>0</v>
      </c>
      <c r="M14" s="1201">
        <f t="shared" si="1"/>
        <v>0</v>
      </c>
      <c r="N14" s="1201">
        <f t="shared" si="1"/>
        <v>75</v>
      </c>
      <c r="O14" s="1202">
        <f t="shared" si="1"/>
        <v>0</v>
      </c>
      <c r="P14" s="1202">
        <f t="shared" si="1"/>
        <v>0</v>
      </c>
      <c r="Q14" s="1201">
        <f t="shared" si="1"/>
        <v>150</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2</v>
      </c>
      <c r="AC14" s="1201">
        <f t="shared" si="2"/>
        <v>175</v>
      </c>
      <c r="AD14" s="1201">
        <f t="shared" si="2"/>
        <v>0</v>
      </c>
      <c r="AE14" s="1201">
        <f t="shared" si="2"/>
        <v>0</v>
      </c>
      <c r="AF14" s="1201">
        <f t="shared" si="2"/>
        <v>3</v>
      </c>
      <c r="AG14" s="1201">
        <f t="shared" si="2"/>
        <v>0</v>
      </c>
      <c r="AH14" s="1201">
        <f t="shared" si="2"/>
        <v>32</v>
      </c>
      <c r="AI14" s="1201">
        <f t="shared" si="2"/>
        <v>0</v>
      </c>
      <c r="AJ14" s="1201">
        <f t="shared" si="2"/>
        <v>0</v>
      </c>
      <c r="AK14" s="1201">
        <f t="shared" si="2"/>
        <v>0</v>
      </c>
      <c r="AL14" s="1201">
        <f t="shared" si="2"/>
        <v>0</v>
      </c>
      <c r="AM14" s="1201">
        <f t="shared" si="2"/>
        <v>904</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132</v>
      </c>
      <c r="BD14" s="1201">
        <f t="shared" si="2"/>
        <v>239</v>
      </c>
      <c r="BE14" s="1201">
        <f t="shared" si="2"/>
        <v>0</v>
      </c>
      <c r="BF14" s="1201">
        <f t="shared" si="2"/>
        <v>0</v>
      </c>
      <c r="BG14" s="1201">
        <f>IF(ISNUMBER(Datos!K14/Datos!J14),Datos!K14/Datos!J14," - ")</f>
        <v>0.98655462184873954</v>
      </c>
      <c r="BH14" s="1205">
        <f>IF(ISNUMBER(((Datos!L14/Datos!K14)*11)/factor_trimestre),((Datos!L14/Datos!K14)*11)/factor_trimestre," - ")</f>
        <v>11.299829642248723</v>
      </c>
      <c r="BI14" s="1201">
        <f>IF(ISNUMBER('Resol  Asuntos'!D14/NºAsuntos!G14),'Resol  Asuntos'!D14/NºAsuntos!G14," - ")</f>
        <v>0.20370370370370369</v>
      </c>
      <c r="BJ14" s="1201" t="str">
        <f>IF(ISNUMBER(Datos!CI14/Datos!CJ14),Datos!CI14/Datos!CJ14," - ")</f>
        <v xml:space="preserve"> - </v>
      </c>
      <c r="BK14" s="1201">
        <f>SUBTOTAL(9,BK8:BK13)</f>
        <v>0</v>
      </c>
      <c r="BL14" s="1201">
        <f>IF(ISNUMBER((I14-AB14+L14)/(F14)),(I14-AB14+L14)/(F14)," - ")</f>
        <v>-2</v>
      </c>
      <c r="BM14" s="1206">
        <f>SUBTOTAL(9,BM9:BM13)</f>
        <v>-2.6910656620021529E-2</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0</v>
      </c>
      <c r="B16" s="741" t="s">
        <v>515</v>
      </c>
      <c r="C16" s="754" t="str">
        <f>Datos!A16</f>
        <v xml:space="preserve">Jdos. Instrucción                               </v>
      </c>
      <c r="D16" s="755"/>
      <c r="E16" s="746">
        <f>IF(ISNUMBER(Datos!AQ16),Datos!AQ16," - ")</f>
        <v>0</v>
      </c>
      <c r="F16" s="744" t="str">
        <f>IF(ISNUMBER(AF16+AB16-Datos!J16-L16),AF16+AB16-Datos!J16-L16," - ")</f>
        <v xml:space="preserve"> - </v>
      </c>
      <c r="G16" s="747" t="str">
        <f>IF(ISNUMBER(IF(D_I="SI",Datos!I16,Datos!I16+Datos!AC16)),IF(D_I="SI",Datos!I16,Datos!I16+Datos!AC16)," - ")</f>
        <v xml:space="preserve"> - </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0</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6"/>
      <c r="AF16" s="745" t="str">
        <f>IF(ISNUMBER(IF(D_I="SI",Datos!L16,Datos!L16+Datos!AF16)),IF(D_I="SI",Datos!L16,Datos!L16+Datos!AF16)," - ")</f>
        <v xml:space="preserve"> - </v>
      </c>
      <c r="AG16" s="374"/>
      <c r="AH16" s="374"/>
      <c r="AI16" s="374"/>
      <c r="AJ16" s="553"/>
      <c r="AK16" s="374"/>
      <c r="AL16" s="549"/>
      <c r="AM16" s="375" t="str">
        <f>IF(ISNUMBER(Datos!R16),Datos!R16," - ")</f>
        <v xml:space="preserve"> - </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8" t="str">
        <f>IF(ISNUMBER(IF(D_I="SI",Datos!K16/Datos!J16,(Datos!K16+Datos!AE16)/(Datos!J16+Datos!AD16))),IF(D_I="SI",Datos!K16/Datos!J16,(Datos!K16+Datos!AE16)/(Datos!J16+Datos!AD16))," - ")</f>
        <v xml:space="preserve"> - </v>
      </c>
      <c r="BH16" s="769"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1</v>
      </c>
      <c r="B17" s="741" t="s">
        <v>515</v>
      </c>
      <c r="C17" s="754" t="str">
        <f>Datos!A17</f>
        <v xml:space="preserve">Jdos. 1ª Instª. e Instr.                        </v>
      </c>
      <c r="D17" s="755"/>
      <c r="E17" s="746">
        <f>IF(ISNUMBER(Datos!AQ17),Datos!AQ17," - ")</f>
        <v>1</v>
      </c>
      <c r="F17" s="744">
        <f>IF(ISNUMBER(AF17+AB17-Datos!J17-L17),AF17+AB17-Datos!J17-L17," - ")</f>
        <v>181</v>
      </c>
      <c r="G17" s="747">
        <f>IF(ISNUMBER(IF(D_I="SI",Datos!I17,Datos!I17+Datos!AC17)),IF(D_I="SI",Datos!I17,Datos!I17+Datos!AC17)," - ")</f>
        <v>181</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31</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f>IF(ISNUMBER(IF(D_I="SI",Datos!K17,Datos!K17+Datos!AE17)),IF(D_I="SI",Datos!K17,Datos!K17+Datos!AE17)," - ")</f>
        <v>895</v>
      </c>
      <c r="AC17" s="240">
        <f>IF(ISNUMBER(Datos!Q17),Datos!Q17," - ")</f>
        <v>27</v>
      </c>
      <c r="AD17" s="374"/>
      <c r="AE17" s="566"/>
      <c r="AF17" s="745">
        <f>IF(ISNUMBER(IF(D_I="SI",Datos!L17,Datos!L17+Datos!AF17)),IF(D_I="SI",Datos!L17,Datos!L17+Datos!AF17)," - ")</f>
        <v>174</v>
      </c>
      <c r="AG17" s="374"/>
      <c r="AH17" s="374"/>
      <c r="AI17" s="374"/>
      <c r="AJ17" s="553"/>
      <c r="AK17" s="374"/>
      <c r="AL17" s="549"/>
      <c r="AM17" s="375">
        <f>IF(ISNUMBER(Datos!R17),Datos!R17," - ")</f>
        <v>58</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131</v>
      </c>
      <c r="BD17" s="243">
        <f>IF(ISNUMBER(Datos!N17),Datos!N17," - ")</f>
        <v>443</v>
      </c>
      <c r="BE17" s="243" t="str">
        <f>IF(ISNUMBER(Datos!BW17),Datos!BW17," - ")</f>
        <v xml:space="preserve"> - </v>
      </c>
      <c r="BF17" s="242" t="str">
        <f>IF(ISNUMBER(Datos!BX17),Datos!BX17," - ")</f>
        <v xml:space="preserve"> - </v>
      </c>
      <c r="BG17" s="768">
        <f>IF(ISNUMBER(IF(D_I="SI",Datos!K17/Datos!J17,(Datos!K17+Datos!AE17)/(Datos!J17+Datos!AD17))),IF(D_I="SI",Datos!K17/Datos!J17,(Datos!K17+Datos!AE17)/(Datos!J17+Datos!AD17))," - ")</f>
        <v>1.007882882882883</v>
      </c>
      <c r="BH17" s="769">
        <f>IF(ISNUMBER(((IF(D_I="SI",Datos!L17/Datos!K17,(Datos!L17+Datos!AF17)/(Datos!K17+Datos!AE17)))*11)/factor_trimestre),((IF(D_I="SI",Datos!L17/Datos!K17,(Datos!L17+Datos!AF17)/(Datos!K17+Datos!AE17)))*11)/factor_trimestre," - ")</f>
        <v>2.1385474860335196</v>
      </c>
      <c r="BI17" s="266">
        <f>IF(ISNUMBER('Resol  Asuntos'!D17/NºAsuntos!G17),'Resol  Asuntos'!D17/NºAsuntos!G17," - ")</f>
        <v>0.14636871508379889</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1</v>
      </c>
      <c r="B18" s="750" t="s">
        <v>515</v>
      </c>
      <c r="C18" s="751" t="str">
        <f>Datos!A18</f>
        <v>Jdos. Violencia contra la mujer</v>
      </c>
      <c r="D18" s="605"/>
      <c r="E18" s="721">
        <f>IF(ISNUMBER(Datos!AQ18),Datos!AQ18," - ")</f>
        <v>0</v>
      </c>
      <c r="F18" s="556" t="str">
        <f>IF(ISNUMBER(AF18+AB18-I18-L18),AF18+AB18-I18-L18," - ")</f>
        <v xml:space="preserve"> - </v>
      </c>
      <c r="G18" s="547">
        <f>IF(ISNUMBER(IF(D_I="SI",Datos!I18,Datos!I18+Datos!AC18)),IF(D_I="SI",Datos!I18,Datos!I18+Datos!AC18)," - ")</f>
        <v>6</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1</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75</v>
      </c>
      <c r="AC18" s="551">
        <f>IF(ISNUMBER(Datos!Q18),Datos!Q18," - ")</f>
        <v>1</v>
      </c>
      <c r="AD18" s="553"/>
      <c r="AE18" s="566"/>
      <c r="AF18" s="555">
        <f>IF(ISNUMBER(Datos!L18),Datos!L18,"-")</f>
        <v>12</v>
      </c>
      <c r="AG18" s="553"/>
      <c r="AH18" s="553"/>
      <c r="AI18" s="553"/>
      <c r="AJ18" s="553"/>
      <c r="AK18" s="553"/>
      <c r="AL18" s="554"/>
      <c r="AM18" s="771">
        <f>IF(ISNUMBER(Datos!R18),Datos!R18," - ")</f>
        <v>1</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5</v>
      </c>
      <c r="BD18" s="697">
        <f>IF(ISNUMBER(Datos!N18),Datos!N18," - ")</f>
        <v>49</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0.92592592592592593</v>
      </c>
      <c r="BH18" s="769">
        <f>IF(ISNUMBER(((IF(D_I="SI",Datos!L18/Datos!K18,(Datos!L18+Datos!AF18)/(Datos!K18+Datos!AE18)))*11)/factor_trimestre),((IF(D_I="SI",Datos!L18/Datos!K18,(Datos!L18+Datos!AF18)/(Datos!K18+Datos!AE18)))*11)/factor_trimestre," - ")</f>
        <v>1.76</v>
      </c>
      <c r="BI18" s="768">
        <f>IF(ISNUMBER('Resol  Asuntos'!D18/NºAsuntos!G18),'Resol  Asuntos'!D18/NºAsuntos!G18," - ")</f>
        <v>6.6666666666666666E-2</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1</v>
      </c>
      <c r="F23" s="1200">
        <f>SUBTOTAL(9,F16:F22)</f>
        <v>181</v>
      </c>
      <c r="G23" s="1200">
        <f>SUBTOTAL(9,G16:G22)</f>
        <v>187</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32</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970</v>
      </c>
      <c r="AC23" s="1201">
        <f t="shared" si="5"/>
        <v>28</v>
      </c>
      <c r="AD23" s="1201">
        <f t="shared" si="5"/>
        <v>0</v>
      </c>
      <c r="AE23" s="1201">
        <f t="shared" si="5"/>
        <v>0</v>
      </c>
      <c r="AF23" s="1201">
        <f t="shared" si="5"/>
        <v>186</v>
      </c>
      <c r="AG23" s="1201">
        <f t="shared" si="5"/>
        <v>0</v>
      </c>
      <c r="AH23" s="1201">
        <f t="shared" si="5"/>
        <v>0</v>
      </c>
      <c r="AI23" s="1201">
        <f t="shared" si="5"/>
        <v>0</v>
      </c>
      <c r="AJ23" s="1201">
        <f t="shared" si="5"/>
        <v>0</v>
      </c>
      <c r="AK23" s="1201">
        <f t="shared" si="5"/>
        <v>0</v>
      </c>
      <c r="AL23" s="1201">
        <f t="shared" si="5"/>
        <v>0</v>
      </c>
      <c r="AM23" s="1201">
        <f t="shared" si="5"/>
        <v>59</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136</v>
      </c>
      <c r="BD23" s="1201">
        <f t="shared" si="5"/>
        <v>492</v>
      </c>
      <c r="BE23" s="1201">
        <f t="shared" si="5"/>
        <v>0</v>
      </c>
      <c r="BF23" s="1201">
        <f t="shared" si="5"/>
        <v>0</v>
      </c>
      <c r="BG23" s="1201">
        <f>IF(ISNUMBER(Datos!K23/Datos!J23),Datos!K23/Datos!J23," - ")</f>
        <v>1.001031991744066</v>
      </c>
      <c r="BH23" s="1205">
        <f>IF(ISNUMBER(((Datos!L23/Datos!K23)*11)/factor_trimestre),((Datos!L23/Datos!K23)*11)/factor_trimestre," - ")</f>
        <v>2.109278350515464</v>
      </c>
      <c r="BI23" s="1201">
        <f>SUBTOTAL(9,BI16:BI22)</f>
        <v>0.21303538175046555</v>
      </c>
      <c r="BJ23" s="1201">
        <f>SUBTOTAL(9,BJ16:BJ22)</f>
        <v>0</v>
      </c>
      <c r="BK23" s="1201">
        <f>SUBTOTAL(9,BK16:BK22)</f>
        <v>0</v>
      </c>
      <c r="BL23" s="1201">
        <f>IF(ISNUMBER((I23-AB23+L23)/(F23)),(I23-AB23+L23)/(F23)," - ")</f>
        <v>-5.3591160220994478</v>
      </c>
      <c r="BM23" s="1208">
        <f>IF(ISNUMBER((Datos!P23-Datos!Q23)/(Datos!R23-Datos!P23+Datos!Q23)),(Datos!P23-Datos!Q23)/(Datos!R23-Datos!P23+Datos!Q23)," - ")</f>
        <v>7.2727272727272724E-2</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2</v>
      </c>
      <c r="F31" s="1120">
        <f t="shared" si="16"/>
        <v>182</v>
      </c>
      <c r="G31" s="1120">
        <f t="shared" si="16"/>
        <v>188</v>
      </c>
      <c r="H31" s="1122">
        <f t="shared" si="16"/>
        <v>0</v>
      </c>
      <c r="I31" s="1120">
        <f t="shared" si="16"/>
        <v>0</v>
      </c>
      <c r="J31" s="1122">
        <f t="shared" si="16"/>
        <v>0</v>
      </c>
      <c r="K31" s="1122">
        <f t="shared" si="16"/>
        <v>0</v>
      </c>
      <c r="L31" s="1183">
        <f t="shared" si="16"/>
        <v>0</v>
      </c>
      <c r="M31" s="1183">
        <f t="shared" si="16"/>
        <v>0</v>
      </c>
      <c r="N31" s="1183">
        <f t="shared" si="16"/>
        <v>75</v>
      </c>
      <c r="O31" s="1183">
        <f t="shared" si="16"/>
        <v>0</v>
      </c>
      <c r="P31" s="1183">
        <f t="shared" si="16"/>
        <v>0</v>
      </c>
      <c r="Q31" s="1122">
        <f t="shared" si="16"/>
        <v>182</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972</v>
      </c>
      <c r="AC31" s="1121">
        <f t="shared" si="17"/>
        <v>203</v>
      </c>
      <c r="AD31" s="1121">
        <f t="shared" si="17"/>
        <v>0</v>
      </c>
      <c r="AE31" s="1121">
        <f t="shared" si="17"/>
        <v>0</v>
      </c>
      <c r="AF31" s="1128">
        <f t="shared" si="17"/>
        <v>189</v>
      </c>
      <c r="AG31" s="1128">
        <f t="shared" si="17"/>
        <v>0</v>
      </c>
      <c r="AH31" s="1128">
        <f t="shared" si="17"/>
        <v>32</v>
      </c>
      <c r="AI31" s="1128">
        <f t="shared" si="17"/>
        <v>0</v>
      </c>
      <c r="AJ31" s="1121">
        <f t="shared" si="17"/>
        <v>0</v>
      </c>
      <c r="AK31" s="1128">
        <f t="shared" si="17"/>
        <v>0</v>
      </c>
      <c r="AL31" s="1128">
        <f t="shared" si="17"/>
        <v>0</v>
      </c>
      <c r="AM31" s="1128">
        <f t="shared" si="17"/>
        <v>963</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268</v>
      </c>
      <c r="BD31" s="1120">
        <f t="shared" si="17"/>
        <v>731</v>
      </c>
      <c r="BE31" s="1120">
        <f t="shared" si="17"/>
        <v>0</v>
      </c>
      <c r="BF31" s="1130">
        <f t="shared" si="17"/>
        <v>0</v>
      </c>
      <c r="BG31" s="1227">
        <f>IF(ISNUMBER(Datos!K31/Datos!J31),Datos!K31/Datos!J31," - ")</f>
        <v>0.99552429667519182</v>
      </c>
      <c r="BH31" s="1227">
        <f>IF(ISNUMBER(((Datos!L31/Datos!K31)*11)/factor_trimestre),((Datos!L31/Datos!K31)*11)/factor_trimestre," - ")</f>
        <v>5.5741811175337181</v>
      </c>
      <c r="BI31" s="1106">
        <f>IF(ISNUMBER(Datos!J31/Datos!I31),Datos!J31/Datos!I31," - ")</f>
        <v>2</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-5.3406593406593403</v>
      </c>
      <c r="BM31" s="1191">
        <f>IF(ISNUMBER((Datos!P31-Datos!Q31+R31)/(Datos!R31-Datos!P31+Datos!Q31-R31)),(Datos!P31-Datos!Q31+R31)/(Datos!R31-Datos!P31+Datos!Q31-R31)," - ")</f>
        <v>-2.1341463414634148E-2</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53.714285714285715</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0.4188539082916955</v>
      </c>
      <c r="F33" s="677">
        <f>IF(ISNUMBER(STDEV(F8:F30)),STDEV(F8:F30),"-")</f>
        <v>93.210872041123324</v>
      </c>
      <c r="G33" s="678">
        <f>IF(ISNUMBER(STDEV(G8:G30)),STDEV(G8:G30),"-")</f>
        <v>89.042525955699546</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448.64266192064048</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70.32374116490513</v>
      </c>
      <c r="BD33" s="677"/>
      <c r="BE33" s="677">
        <f>IF(ISNUMBER(STDEV(BE8:BE30)),STDEV(BE8:BE30),"-")</f>
        <v>0</v>
      </c>
      <c r="BF33" s="682">
        <f>IF(ISNUMBER(STDEV(BF8:BF30)),STDEV(BF8:BF30),"-")</f>
        <v>0</v>
      </c>
      <c r="BG33" s="1055">
        <f>IF(ISNUMBER(STDEV(BG8:BG30)),STDEV(BG8:BG30),"-")</f>
        <v>0.19743019353491661</v>
      </c>
      <c r="BH33" s="1061">
        <f>IF(ISNUMBER(STDEV(BH8:BH30)),STDEV(BH8:BH30),"-")</f>
        <v>6.2737315117366066</v>
      </c>
      <c r="BI33" s="273">
        <f>IF(ISNUMBER(STDEV(BI8:BI30)),STDEV(BI8:BI30),"-")</f>
        <v>6.7314060181062799E-2</v>
      </c>
      <c r="BJ33" s="244" t="str">
        <f>IF(ISNUMBER(BL33/BM33),BL33/BM33," - ")</f>
        <v xml:space="preserve"> - </v>
      </c>
      <c r="BK33" s="713"/>
      <c r="BL33" s="685">
        <f>IF(ISNUMBER(STDEV(BL8:BL30)),STDEV(BL8:BL30),"-")</f>
        <v>2.3752537180188997</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2GB1fgukhoF/3EbWMF+owwN/BdQ15rqqjyE+T4u5PaqrHaXDWOHrWHPh6IZI1i0mNDIwSwT4IBmQAz66mWF3CQ==" saltValue="jT3qwuo5SaeRV6MeXj7omw=="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ANDALUCIA</v>
      </c>
    </row>
    <row r="2" spans="1:72" ht="16.5" customHeight="1">
      <c r="C2" s="651" t="str">
        <f>Criterios!A10 &amp;"  "&amp;Criterios!B10 &amp; "  " &amp; IF(NOT(ISBLANK(Criterios!A11)),Criterios!A11 &amp;"  "&amp;Criterios!B11,"")</f>
        <v>Provincias  MALAGA  Resumenes por Partidos Judiciales  ARCHIDONA</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0</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t="str">
        <f>IF(ISNUMBER(Datos!Q9),Datos!Q9," - ")</f>
        <v xml:space="preserve"> - </v>
      </c>
      <c r="AA9" s="555" t="str">
        <f>IF(ISNUMBER(IF(J_V="SI",Datos!L9,Datos!L9+Datos!AB9)-IF(Monitorios="SI",Datos!CD9,0)),
                          IF(J_V="SI",Datos!L9,Datos!L9+Datos!AB9)-IF(Monitorios="SI",Datos!CD9,0),
                          " - ")</f>
        <v xml:space="preserve"> - </v>
      </c>
      <c r="AB9" s="553"/>
      <c r="AC9" s="553"/>
      <c r="AD9" s="567"/>
      <c r="AE9" s="567" t="str">
        <f>IF(ISNUMBER(Datos!R9),Datos!R9," - ")</f>
        <v xml:space="preserve"> - </v>
      </c>
      <c r="AF9" s="697" t="str">
        <f>IF(ISNUMBER(Datos!BV9),Datos!BV9," - ")</f>
        <v xml:space="preserve"> - </v>
      </c>
      <c r="AG9" s="556" t="str">
        <f>IF(ISNUMBER(Datos!DV9),Datos!DV9," - ")</f>
        <v xml:space="preserve"> - </v>
      </c>
      <c r="AH9" s="557"/>
      <c r="AI9" s="558"/>
      <c r="AJ9" s="556" t="str">
        <f>IF(ISNUMBER(Datos!M9),Datos!M9," - ")</f>
        <v xml:space="preserve"> - </v>
      </c>
      <c r="AK9" s="697" t="str">
        <f>IF(ISNUMBER(Datos!N9),Datos!N9," - ")</f>
        <v xml:space="preserve"> - </v>
      </c>
      <c r="AL9" s="697" t="str">
        <f>IF(ISNUMBER(Datos!BW9),Datos!BW9," - ")</f>
        <v xml:space="preserve"> - </v>
      </c>
      <c r="AM9" s="767" t="str">
        <f>IF(ISNUMBER(Datos!BX9),Datos!BX9," - ")</f>
        <v xml:space="preserve"> - </v>
      </c>
      <c r="AN9" s="768"/>
      <c r="AO9" s="769" t="str">
        <f>IF(ISNUMBER(((NºAsuntos!I9/NºAsuntos!G9)*11)/factor_trimestre),((NºAsuntos!I9/NºAsuntos!G9)*11)/factor_trimestre," - ")</f>
        <v xml:space="preserve"> - </v>
      </c>
      <c r="AP9" s="559" t="str">
        <f>IF(ISNUMBER(Datos!CI9/Datos!CJ9),Datos!CI9/Datos!CJ9," - ")</f>
        <v xml:space="preserve"> - </v>
      </c>
      <c r="AQ9" s="559" t="str">
        <f>IF(ISNUMBER((J9-Y9+K9)/(F9)),(J9-Y9+K9)/(F9)," - ")</f>
        <v xml:space="preserve"> - </v>
      </c>
      <c r="AR9" s="559" t="str">
        <f>IF(ISNUMBER((Datos!P9-Datos!Q9+Datos!DE9)/(Datos!R9-Datos!P9+Datos!Q9-Datos!DE9)),(Datos!P9-Datos!Q9+Datos!DE9)/(Datos!R9-Datos!P9+Datos!Q9-Datos!DE9)," - ")</f>
        <v xml:space="preserve"> - </v>
      </c>
      <c r="AS9" s="753"/>
      <c r="AT9" s="753"/>
      <c r="AU9" s="721" t="str">
        <f>IF(ISNUMBER(Datos!CW9),Datos!CW9," - ")</f>
        <v xml:space="preserve"> - </v>
      </c>
      <c r="AV9" s="721">
        <f>Datos!CX9</f>
        <v>0</v>
      </c>
      <c r="AW9" s="826">
        <f>Datos!DU9</f>
        <v>0</v>
      </c>
      <c r="BT9" s="1382">
        <f>Datos!ER9/factor_trimestre</f>
        <v>1200</v>
      </c>
    </row>
    <row r="10" spans="1:72" s="582" customFormat="1" ht="14.25">
      <c r="A10" s="749">
        <f>Datos!AO10</f>
        <v>1</v>
      </c>
      <c r="B10" s="750" t="s">
        <v>324</v>
      </c>
      <c r="C10" s="751" t="str">
        <f>Datos!A10</f>
        <v>Jdos. Violencia contra la mujer</v>
      </c>
      <c r="D10" s="605"/>
      <c r="E10" s="752">
        <f>IF(ISNUMBER(Datos!AQ10),Datos!AQ10," - ")</f>
        <v>0</v>
      </c>
      <c r="F10" s="556">
        <f>IF(ISNUMBER(Datos!L10+Datos!K10-Datos!J10),Datos!L10+Datos!K10-Datos!J10," - ")</f>
        <v>1</v>
      </c>
      <c r="G10" s="556">
        <f>IF(ISNUMBER(Datos!I10),Datos!I10," - ")</f>
        <v>1</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0</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2</v>
      </c>
      <c r="Z10" s="810">
        <f>IF(ISNUMBER(Datos!Q10),Datos!Q10," - ")</f>
        <v>0</v>
      </c>
      <c r="AA10" s="555">
        <f>IF(ISNUMBER(Datos!L10),Datos!L10,"-")</f>
        <v>3</v>
      </c>
      <c r="AB10" s="553"/>
      <c r="AC10" s="553"/>
      <c r="AD10" s="567"/>
      <c r="AE10" s="567">
        <f>IF(ISNUMBER(Datos!R10),Datos!R10," - ")</f>
        <v>0</v>
      </c>
      <c r="AF10" s="697" t="str">
        <f>IF(ISNUMBER(Datos!BV10),Datos!BV10," - ")</f>
        <v xml:space="preserve"> - </v>
      </c>
      <c r="AG10" s="556" t="str">
        <f>IF(ISNUMBER(Datos!DV10),Datos!DV10," - ")</f>
        <v xml:space="preserve"> - </v>
      </c>
      <c r="AH10" s="557"/>
      <c r="AI10" s="558"/>
      <c r="AJ10" s="556">
        <f>IF(ISNUMBER(Datos!M10),Datos!M10," - ")</f>
        <v>0</v>
      </c>
      <c r="AK10" s="697">
        <f>IF(ISNUMBER(Datos!N10),Datos!N10," - ")</f>
        <v>0</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16.5</v>
      </c>
      <c r="AP10" s="559" t="str">
        <f>IF(ISNUMBER(Datos!CI10/Datos!CJ10),Datos!CI10/Datos!CJ10," - ")</f>
        <v xml:space="preserve"> - </v>
      </c>
      <c r="AQ10" s="559" t="str">
        <f>IF(ISNUMBER((I10-Y10+K10)/(F10)),(I10-Y10+K10)/(F10)," - ")</f>
        <v xml:space="preserve"> - </v>
      </c>
      <c r="AR10" s="559" t="str">
        <f>IF(ISNUMBER((Datos!P10-Datos!Q10+Datos!DE10)/(Datos!R10-Datos!P10+Datos!Q10-Datos!DE10)),(Datos!P10-Datos!Q10+Datos!DE10)/(Datos!R10-Datos!P10+Datos!Q10-Datos!DE10)," - ")</f>
        <v xml:space="preserve"> - </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0</v>
      </c>
      <c r="B11" s="750" t="s">
        <v>324</v>
      </c>
      <c r="C11" s="751" t="str">
        <f>Datos!A11</f>
        <v xml:space="preserve">Jdos. Familia                                   </v>
      </c>
      <c r="D11" s="605"/>
      <c r="E11" s="752">
        <f>IF(ISNUMBER(Datos!AQ11),Datos!AQ11," - ")</f>
        <v>0</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0</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t="str">
        <f>IF(ISNUMBER(Datos!Q11),Datos!Q11," - ")</f>
        <v xml:space="preserve"> - </v>
      </c>
      <c r="AA11" s="555" t="str">
        <f>IF(ISNUMBER(IF(J_V="SI",Datos!L11,Datos!L11+Datos!AB11)-IF(Monitorios="SI",Datos!CD11,0)),
                          IF(J_V="SI",Datos!L11,Datos!L11+Datos!AB11)-IF(Monitorios="SI",Datos!CD11,0),
                          " - ")</f>
        <v xml:space="preserve"> - </v>
      </c>
      <c r="AB11" s="553"/>
      <c r="AC11" s="553"/>
      <c r="AD11" s="567"/>
      <c r="AE11" s="567" t="str">
        <f>IF(ISNUMBER(Datos!R11),Datos!R11," - ")</f>
        <v xml:space="preserve"> - </v>
      </c>
      <c r="AF11" s="697" t="str">
        <f>IF(ISNUMBER(Datos!BV11),Datos!BV11," - ")</f>
        <v xml:space="preserve"> - </v>
      </c>
      <c r="AG11" s="556" t="str">
        <f>IF(ISNUMBER(Datos!DV11),Datos!DV11," - ")</f>
        <v xml:space="preserve"> - </v>
      </c>
      <c r="AH11" s="557"/>
      <c r="AI11" s="558"/>
      <c r="AJ11" s="556" t="str">
        <f>IF(ISNUMBER(Datos!M11),Datos!M11," - ")</f>
        <v xml:space="preserve"> - </v>
      </c>
      <c r="AK11" s="697" t="str">
        <f>IF(ISNUMBER(Datos!N11),Datos!N11," - ")</f>
        <v xml:space="preserve"> - </v>
      </c>
      <c r="AL11" s="697" t="str">
        <f>IF(ISNUMBER(Datos!BW11),Datos!BW11," - ")</f>
        <v xml:space="preserve"> - </v>
      </c>
      <c r="AM11" s="767" t="str">
        <f>IF(ISNUMBER(Datos!BX11),Datos!BX11," - ")</f>
        <v xml:space="preserve"> - </v>
      </c>
      <c r="AN11" s="768"/>
      <c r="AO11" s="769" t="str">
        <f>IF(ISNUMBER(((NºAsuntos!I11/NºAsuntos!G11)*11)/factor_trimestre),((NºAsuntos!I11/NºAsuntos!G11)*11)/factor_trimestre," - ")</f>
        <v xml:space="preserve"> - </v>
      </c>
      <c r="AP11" s="559" t="str">
        <f>IF(ISNUMBER(Datos!CI11/Datos!CJ11),Datos!CI11/Datos!CJ11," - ")</f>
        <v xml:space="preserve"> - </v>
      </c>
      <c r="AQ11" s="559" t="str">
        <f>IF(ISNUMBER((J11-Y11+K11)/(F11)),(J11-Y11+K11)/(F11)," - ")</f>
        <v xml:space="preserve"> - </v>
      </c>
      <c r="AR11" s="559" t="str">
        <f>IF(ISNUMBER((Datos!P11-Datos!Q11+Datos!DE11)/(Datos!R11-Datos!P11+Datos!Q11-Datos!DE11)),(Datos!P11-Datos!Q11+Datos!DE11)/(Datos!R11-Datos!P11+Datos!Q11-Datos!DE11)," - ")</f>
        <v xml:space="preserve"> - </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1</v>
      </c>
      <c r="B12" s="750" t="s">
        <v>324</v>
      </c>
      <c r="C12" s="751" t="str">
        <f>Datos!A12</f>
        <v xml:space="preserve">Jdos. 1ª Instª. e Instr.                        </v>
      </c>
      <c r="D12" s="605"/>
      <c r="E12" s="752">
        <f>IF(ISNUMBER(Datos!AQ12),Datos!AQ12," - ")</f>
        <v>1</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150</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f>IF(ISNUMBER(Datos!Q12),Datos!Q12," - ")</f>
        <v>175</v>
      </c>
      <c r="AA12" s="555" t="str">
        <f>IF(ISNUMBER(IF(J_V="SI",Datos!L12,Datos!L12+Datos!AB12)-IF(Monitorios="SI",Datos!CD12,0)),
                          IF(J_V="SI",Datos!L12,Datos!L12+Datos!AB12)-IF(Monitorios="SI",Datos!CD12,0),
                          " - ")</f>
        <v xml:space="preserve"> - </v>
      </c>
      <c r="AB12" s="553"/>
      <c r="AC12" s="553"/>
      <c r="AD12" s="567"/>
      <c r="AE12" s="567">
        <f>IF(ISNUMBER(Datos!R12),Datos!R12," - ")</f>
        <v>904</v>
      </c>
      <c r="AF12" s="697" t="str">
        <f>IF(ISNUMBER(Datos!BV12),Datos!BV12," - ")</f>
        <v xml:space="preserve"> - </v>
      </c>
      <c r="AG12" s="556" t="str">
        <f>IF(ISNUMBER(Datos!DV12),Datos!DV12," - ")</f>
        <v xml:space="preserve"> - </v>
      </c>
      <c r="AH12" s="557"/>
      <c r="AI12" s="558"/>
      <c r="AJ12" s="556">
        <f>IF(ISNUMBER(Datos!M12),Datos!M12," - ")</f>
        <v>132</v>
      </c>
      <c r="AK12" s="697">
        <f>IF(ISNUMBER(Datos!N12),Datos!N12," - ")</f>
        <v>239</v>
      </c>
      <c r="AL12" s="697" t="str">
        <f>IF(ISNUMBER(Datos!BW12),Datos!BW12," - ")</f>
        <v xml:space="preserve"> - </v>
      </c>
      <c r="AM12" s="767" t="str">
        <f>IF(ISNUMBER(Datos!BX12),Datos!BX12," - ")</f>
        <v xml:space="preserve"> - </v>
      </c>
      <c r="AN12" s="768"/>
      <c r="AO12" s="769">
        <f>IF(ISNUMBER(((NºAsuntos!I12/NºAsuntos!G12)*11)/factor_trimestre),((NºAsuntos!I12/NºAsuntos!G12)*11)/factor_trimestre," - ")</f>
        <v>10.761609907120743</v>
      </c>
      <c r="AP12" s="559" t="str">
        <f>IF(ISNUMBER(Datos!CI12/Datos!CJ12),Datos!CI12/Datos!CJ12," - ")</f>
        <v xml:space="preserve"> - </v>
      </c>
      <c r="AQ12" s="559" t="str">
        <f>IF(ISNUMBER((J12-Y12+K12)/(F12)),(J12-Y12+K12)/(F12)," - ")</f>
        <v xml:space="preserve"> - </v>
      </c>
      <c r="AR12" s="559">
        <f>IF(ISNUMBER((Datos!P12-Datos!Q12+Datos!DE12)/(Datos!R12-Datos!P12+Datos!Q12-Datos!DE12)),(Datos!P12-Datos!Q12+Datos!DE12)/(Datos!R12-Datos!P12+Datos!Q12-Datos!DE12)," - ")</f>
        <v>-2.6910656620021529E-2</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1</v>
      </c>
      <c r="F14" s="1200">
        <f>SUBTOTAL(9,F8:F13)</f>
        <v>1</v>
      </c>
      <c r="G14" s="1200">
        <f>SUBTOTAL(9,G8:G13)</f>
        <v>1</v>
      </c>
      <c r="H14" s="1214"/>
      <c r="I14" s="1200">
        <f t="shared" ref="I14:N14" si="1">SUBTOTAL(9,I8:I13)</f>
        <v>0</v>
      </c>
      <c r="J14" s="1167">
        <f t="shared" si="1"/>
        <v>0</v>
      </c>
      <c r="K14" s="1214">
        <f t="shared" si="1"/>
        <v>0</v>
      </c>
      <c r="L14" s="1214">
        <f t="shared" si="1"/>
        <v>0</v>
      </c>
      <c r="M14" s="1214">
        <f t="shared" si="1"/>
        <v>0</v>
      </c>
      <c r="N14" s="1214">
        <f t="shared" si="1"/>
        <v>150</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2</v>
      </c>
      <c r="Z14" s="1213">
        <f t="shared" si="3"/>
        <v>175</v>
      </c>
      <c r="AA14" s="1202">
        <f t="shared" si="3"/>
        <v>3</v>
      </c>
      <c r="AB14" s="1202">
        <f t="shared" si="3"/>
        <v>0</v>
      </c>
      <c r="AC14" s="1202">
        <f t="shared" si="3"/>
        <v>0</v>
      </c>
      <c r="AD14" s="1202">
        <f t="shared" si="3"/>
        <v>0</v>
      </c>
      <c r="AE14" s="1202">
        <f t="shared" si="3"/>
        <v>904</v>
      </c>
      <c r="AF14" s="1214">
        <f t="shared" si="3"/>
        <v>0</v>
      </c>
      <c r="AG14" s="1214">
        <f t="shared" si="3"/>
        <v>0</v>
      </c>
      <c r="AH14" s="1214">
        <f t="shared" si="3"/>
        <v>0</v>
      </c>
      <c r="AI14" s="1214">
        <f t="shared" si="3"/>
        <v>0</v>
      </c>
      <c r="AJ14" s="1214">
        <f t="shared" si="3"/>
        <v>132</v>
      </c>
      <c r="AK14" s="1214">
        <f t="shared" si="3"/>
        <v>239</v>
      </c>
      <c r="AL14" s="1214">
        <f t="shared" si="3"/>
        <v>0</v>
      </c>
      <c r="AM14" s="1214">
        <f t="shared" si="3"/>
        <v>0</v>
      </c>
      <c r="AN14" s="1214">
        <f t="shared" si="3"/>
        <v>0</v>
      </c>
      <c r="AO14" s="1206">
        <f>IF(ISNUMBER(((NºAsuntos!I14/NºAsuntos!G14)*11)/factor_trimestre),((NºAsuntos!I14/NºAsuntos!G14)*11)/factor_trimestre," - ")</f>
        <v>10.779320987654321</v>
      </c>
      <c r="AP14" s="1216" t="str">
        <f>IF(ISNUMBER(Datos!CI14/Datos!CJ14),Datos!CI14/Datos!CJ14," - ")</f>
        <v xml:space="preserve"> - </v>
      </c>
      <c r="AQ14" s="1240">
        <f>SUBTOTAL(9,AQ9:AQ13)</f>
        <v>0</v>
      </c>
      <c r="AR14" s="1240">
        <f>SUBTOTAL(9,AR9:AR13)</f>
        <v>-2.6910656620021529E-2</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0</v>
      </c>
      <c r="B16" s="750" t="s">
        <v>515</v>
      </c>
      <c r="C16" s="770" t="str">
        <f>Datos!A16</f>
        <v xml:space="preserve">Jdos. Instrucción                               </v>
      </c>
      <c r="D16" s="597"/>
      <c r="E16" s="752">
        <f>IF(ISNUMBER(Datos!AQ16),Datos!AQ16," - ")</f>
        <v>0</v>
      </c>
      <c r="F16" s="547" t="str">
        <f>IF(ISNUMBER(AA16+Y16-Datos!J16-K16),AA16+Y16-Datos!J16-K16," - ")</f>
        <v xml:space="preserve"> - </v>
      </c>
      <c r="G16" s="556" t="str">
        <f>IF(ISNUMBER(IF(D_I="SI",Datos!I16,Datos!I16+Datos!AC16)),IF(D_I="SI",Datos!I16,Datos!I16+Datos!AC16)," - ")</f>
        <v xml:space="preserve"> - </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0</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t="str">
        <f>IF(ISNUMBER(IF(D_I="SI",Datos!K16,Datos!K16+Datos!AE16)),IF(D_I="SI",Datos!K16,Datos!K16+Datos!AE16)," - ")</f>
        <v xml:space="preserve"> - </v>
      </c>
      <c r="Z16" s="810" t="str">
        <f>IF(ISNUMBER(Datos!Q16),Datos!Q16," - ")</f>
        <v xml:space="preserve"> - </v>
      </c>
      <c r="AA16" s="555" t="str">
        <f>IF(ISNUMBER(IF(D_I="SI",Datos!L16,Datos!L16+Datos!AF16)),IF(D_I="SI",Datos!L16,Datos!L16+Datos!AF16)," - ")</f>
        <v xml:space="preserve"> - </v>
      </c>
      <c r="AB16" s="553"/>
      <c r="AC16" s="553"/>
      <c r="AD16" s="567"/>
      <c r="AE16" s="567" t="str">
        <f>IF(ISNUMBER(Datos!R16),Datos!R16," - ")</f>
        <v xml:space="preserve"> - </v>
      </c>
      <c r="AF16" s="697" t="str">
        <f>IF(ISNUMBER(Datos!BV16),Datos!BV16," - ")</f>
        <v xml:space="preserve"> - </v>
      </c>
      <c r="AG16" s="556"/>
      <c r="AH16" s="557"/>
      <c r="AI16" s="558"/>
      <c r="AJ16" s="556" t="str">
        <f>IF(ISNUMBER(Datos!M16),Datos!M16," - ")</f>
        <v xml:space="preserve"> - </v>
      </c>
      <c r="AK16" s="697" t="str">
        <f>IF(ISNUMBER(Datos!N16),Datos!N16," - ")</f>
        <v xml:space="preserve"> - </v>
      </c>
      <c r="AL16" s="697" t="str">
        <f>IF(ISNUMBER(Datos!BW16),Datos!BW16," - ")</f>
        <v xml:space="preserve"> - </v>
      </c>
      <c r="AM16" s="767" t="str">
        <f>IF(ISNUMBER(Datos!BX16),Datos!BX16," - ")</f>
        <v xml:space="preserve"> - </v>
      </c>
      <c r="AN16" s="768"/>
      <c r="AO16" s="769" t="str">
        <f>IF(ISNUMBER(((NºAsuntos!I16/NºAsuntos!G16)*11)/factor_trimestre),((NºAsuntos!I16/NºAsuntos!G16)*11)/factor_trimestre," - ")</f>
        <v xml:space="preserve"> - </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1</v>
      </c>
      <c r="B17" s="750" t="s">
        <v>515</v>
      </c>
      <c r="C17" s="770" t="str">
        <f>Datos!A17</f>
        <v xml:space="preserve">Jdos. 1ª Instª. e Instr.                        </v>
      </c>
      <c r="D17" s="597"/>
      <c r="E17" s="752">
        <f>IF(ISNUMBER(Datos!AQ17),Datos!AQ17," - ")</f>
        <v>1</v>
      </c>
      <c r="F17" s="547">
        <f>IF(ISNUMBER(AA17+Y17-Datos!J17-K16),AA17+Y17-Datos!J17-K16," - ")</f>
        <v>181</v>
      </c>
      <c r="G17" s="556">
        <f>IF(ISNUMBER(IF(D_I="SI",Datos!I17,Datos!I17+Datos!AC17)),IF(D_I="SI",Datos!I17,Datos!I17+Datos!AC17)," - ")</f>
        <v>181</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31</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f>IF(ISNUMBER(IF(D_I="SI",Datos!K17,Datos!K17+Datos!AE17)),IF(D_I="SI",Datos!K17,Datos!K17+Datos!AE17)," - ")</f>
        <v>895</v>
      </c>
      <c r="Z17" s="810">
        <f>IF(ISNUMBER(Datos!Q17),Datos!Q17," - ")</f>
        <v>27</v>
      </c>
      <c r="AA17" s="555">
        <f>IF(ISNUMBER(IF(D_I="SI",Datos!L17,Datos!L17+Datos!AF17)),IF(D_I="SI",Datos!L17,Datos!L17+Datos!AF17)," - ")</f>
        <v>174</v>
      </c>
      <c r="AB17" s="553"/>
      <c r="AC17" s="553"/>
      <c r="AD17" s="567"/>
      <c r="AE17" s="567">
        <f>IF(ISNUMBER(Datos!R17),Datos!R17," - ")</f>
        <v>58</v>
      </c>
      <c r="AF17" s="697" t="str">
        <f>IF(ISNUMBER(Datos!BV17),Datos!BV17," - ")</f>
        <v xml:space="preserve"> - </v>
      </c>
      <c r="AG17" s="556"/>
      <c r="AH17" s="557"/>
      <c r="AI17" s="558"/>
      <c r="AJ17" s="556">
        <f>IF(ISNUMBER(Datos!M17),Datos!M17," - ")</f>
        <v>131</v>
      </c>
      <c r="AK17" s="697">
        <f>IF(ISNUMBER(Datos!N17),Datos!N17," - ")</f>
        <v>443</v>
      </c>
      <c r="AL17" s="697" t="str">
        <f>IF(ISNUMBER(Datos!BW17),Datos!BW17," - ")</f>
        <v xml:space="preserve"> - </v>
      </c>
      <c r="AM17" s="767" t="str">
        <f>IF(ISNUMBER(Datos!BX17),Datos!BX17," - ")</f>
        <v xml:space="preserve"> - </v>
      </c>
      <c r="AN17" s="768"/>
      <c r="AO17" s="769">
        <f>IF(ISNUMBER(((NºAsuntos!I17/NºAsuntos!G17)*11)/factor_trimestre),((NºAsuntos!I17/NºAsuntos!G17)*11)/factor_trimestre," - ")</f>
        <v>2.1385474860335196</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1</v>
      </c>
      <c r="B18" s="750" t="s">
        <v>515</v>
      </c>
      <c r="C18" s="751" t="str">
        <f>Datos!A18</f>
        <v>Jdos. Violencia contra la mujer</v>
      </c>
      <c r="D18" s="605"/>
      <c r="E18" s="752">
        <f>IF(ISNUMBER(Datos!AQ18),Datos!AQ18," - ")</f>
        <v>0</v>
      </c>
      <c r="F18" s="556" t="str">
        <f>IF(ISNUMBER(AA18+Y18-I18-K18),AA18+Y18-I18-K18," - ")</f>
        <v xml:space="preserve"> - </v>
      </c>
      <c r="G18" s="847">
        <f>IF(ISNUMBER(IF(D_I="SI",Datos!I18,Datos!I18+Datos!AC18)),IF(D_I="SI",Datos!I18,Datos!I18+Datos!AC18)," - ")</f>
        <v>6</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1</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75</v>
      </c>
      <c r="Z18" s="810">
        <f>IF(ISNUMBER(Datos!Q18),Datos!Q18," - ")</f>
        <v>1</v>
      </c>
      <c r="AA18" s="555">
        <f>IF(ISNUMBER(Datos!L18),Datos!L18,"-")</f>
        <v>12</v>
      </c>
      <c r="AB18" s="553"/>
      <c r="AC18" s="553"/>
      <c r="AD18" s="567"/>
      <c r="AE18" s="567">
        <f>IF(ISNUMBER(Datos!R18),Datos!R18," - ")</f>
        <v>1</v>
      </c>
      <c r="AF18" s="697" t="str">
        <f>IF(ISNUMBER(Datos!BV18),Datos!BV18," - ")</f>
        <v xml:space="preserve"> - </v>
      </c>
      <c r="AG18" s="556" t="str">
        <f>IF(ISNUMBER(Datos!DV18),Datos!DV18," - ")</f>
        <v xml:space="preserve"> - </v>
      </c>
      <c r="AH18" s="557"/>
      <c r="AI18" s="558"/>
      <c r="AJ18" s="556">
        <f>IF(ISNUMBER(Datos!M18),Datos!M18," - ")</f>
        <v>5</v>
      </c>
      <c r="AK18" s="697">
        <f>IF(ISNUMBER(Datos!N18),Datos!N18," - ")</f>
        <v>49</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1.76</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1</v>
      </c>
      <c r="F23" s="1200">
        <f>SUBTOTAL(9,F16:F22)</f>
        <v>181</v>
      </c>
      <c r="G23" s="1200">
        <f>SUBTOTAL(9,G16:G22)</f>
        <v>187</v>
      </c>
      <c r="H23" s="1245">
        <f>SUBTOTAL(9,H16:H22)</f>
        <v>0</v>
      </c>
      <c r="I23" s="1220">
        <f>SUBTOTAL(9,I16:I22)</f>
        <v>0</v>
      </c>
      <c r="J23" s="1167">
        <f>SUBTOTAL(9,J15:J22)</f>
        <v>0</v>
      </c>
      <c r="K23" s="1245">
        <f t="shared" ref="K23:S23" si="4">SUBTOTAL(9,K16:K22)</f>
        <v>0</v>
      </c>
      <c r="L23" s="1245">
        <f t="shared" si="4"/>
        <v>0</v>
      </c>
      <c r="M23" s="1245">
        <f t="shared" si="4"/>
        <v>0</v>
      </c>
      <c r="N23" s="1245">
        <f t="shared" si="4"/>
        <v>32</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970</v>
      </c>
      <c r="Z23" s="1245">
        <f t="shared" si="5"/>
        <v>28</v>
      </c>
      <c r="AA23" s="1245">
        <f t="shared" si="5"/>
        <v>186</v>
      </c>
      <c r="AB23" s="1245">
        <f t="shared" si="5"/>
        <v>0</v>
      </c>
      <c r="AC23" s="1245">
        <f t="shared" si="5"/>
        <v>0</v>
      </c>
      <c r="AD23" s="1245">
        <f t="shared" si="5"/>
        <v>0</v>
      </c>
      <c r="AE23" s="1245">
        <f t="shared" si="5"/>
        <v>59</v>
      </c>
      <c r="AF23" s="1245">
        <f t="shared" si="5"/>
        <v>0</v>
      </c>
      <c r="AG23" s="1245">
        <f t="shared" si="5"/>
        <v>0</v>
      </c>
      <c r="AH23" s="1245">
        <f t="shared" si="5"/>
        <v>0</v>
      </c>
      <c r="AI23" s="1245">
        <f t="shared" si="5"/>
        <v>0</v>
      </c>
      <c r="AJ23" s="1245">
        <f t="shared" si="5"/>
        <v>136</v>
      </c>
      <c r="AK23" s="1245">
        <f t="shared" si="5"/>
        <v>492</v>
      </c>
      <c r="AL23" s="1245">
        <f t="shared" si="5"/>
        <v>0</v>
      </c>
      <c r="AM23" s="1245">
        <f t="shared" si="5"/>
        <v>0</v>
      </c>
      <c r="AN23" s="1245">
        <f t="shared" si="5"/>
        <v>0</v>
      </c>
      <c r="AO23" s="1247">
        <f>IF(ISNUMBER(((NºAsuntos!I23/NºAsuntos!G23)*11)/factor_trimestre),((NºAsuntos!I23/NºAsuntos!G23)*11)/factor_trimestre," - ")</f>
        <v>2.109278350515464</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2</v>
      </c>
      <c r="F31" s="1120">
        <f t="shared" si="10"/>
        <v>182</v>
      </c>
      <c r="G31" s="1120">
        <f t="shared" si="10"/>
        <v>188</v>
      </c>
      <c r="H31" s="1121">
        <f t="shared" si="10"/>
        <v>0</v>
      </c>
      <c r="I31" s="1120">
        <f t="shared" si="10"/>
        <v>0</v>
      </c>
      <c r="J31" s="1122">
        <f t="shared" si="10"/>
        <v>0</v>
      </c>
      <c r="K31" s="1120">
        <f t="shared" si="10"/>
        <v>0</v>
      </c>
      <c r="L31" s="1123">
        <f t="shared" si="10"/>
        <v>0</v>
      </c>
      <c r="M31" s="1120">
        <f t="shared" si="10"/>
        <v>0</v>
      </c>
      <c r="N31" s="1121">
        <f t="shared" si="10"/>
        <v>182</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972</v>
      </c>
      <c r="Z31" s="1127">
        <f t="shared" si="11"/>
        <v>203</v>
      </c>
      <c r="AA31" s="1128">
        <f t="shared" si="11"/>
        <v>189</v>
      </c>
      <c r="AB31" s="1128">
        <f t="shared" si="11"/>
        <v>0</v>
      </c>
      <c r="AC31" s="1128">
        <f t="shared" si="11"/>
        <v>0</v>
      </c>
      <c r="AD31" s="1129">
        <f t="shared" si="11"/>
        <v>0</v>
      </c>
      <c r="AE31" s="1129">
        <f t="shared" si="11"/>
        <v>963</v>
      </c>
      <c r="AF31" s="1130">
        <f t="shared" si="11"/>
        <v>0</v>
      </c>
      <c r="AG31" s="1131">
        <f t="shared" si="11"/>
        <v>0</v>
      </c>
      <c r="AH31" s="1132">
        <f t="shared" si="11"/>
        <v>0</v>
      </c>
      <c r="AI31" s="1130">
        <f t="shared" si="11"/>
        <v>0</v>
      </c>
      <c r="AJ31" s="1120">
        <f t="shared" si="11"/>
        <v>268</v>
      </c>
      <c r="AK31" s="1120">
        <f t="shared" si="11"/>
        <v>731</v>
      </c>
      <c r="AL31" s="1120">
        <f t="shared" si="11"/>
        <v>0</v>
      </c>
      <c r="AM31" s="1133">
        <f t="shared" si="11"/>
        <v>0</v>
      </c>
      <c r="AN31" s="1123">
        <f>IF(ISNUMBER(Datos!K31/Datos!J31),Datos!K31/Datos!J31," - ")</f>
        <v>0.99552429667519182</v>
      </c>
      <c r="AO31" s="1123">
        <f>IF(ISNUMBER(FIND("06",Criterios!A8,1)),(IF(ISNUMBER(((Datos!R31/Datos!Q31)*11)/factor_trimestre),((Datos!R31/Datos!Q31)*11)/factor_trimestre," - ")),(IF(ISNUMBER(((Datos!L31/Datos!K31)*11)/factor_trimestre),((Datos!L31/Datos!K31)*11)/factor_trimestre," - ")))</f>
        <v>5.5741811175337181</v>
      </c>
      <c r="AP31" s="1134" t="str">
        <f>IF(ISNUMBER(Datos!CI31/Datos!CJ31),Datos!CI31/Datos!CJ31," - ")</f>
        <v xml:space="preserve"> - </v>
      </c>
      <c r="AQ31" s="1134">
        <f>IF(OR(ISNUMBER(FIND("01",Criterios!A8,1)),ISNUMBER(FIND("02",Criterios!A8,1)),ISNUMBER(FIND("03",Criterios!A8,1)),ISNUMBER(FIND("04",Criterios!A8,1))),(J31-Y31+K31)/(F31-K31),(I31-Y31+K31)/(F31-K31))</f>
        <v>-5.3406593406593403</v>
      </c>
      <c r="AR31" s="1134">
        <f>IF(ISNUMBER((Datos!P31-Datos!Q31+O31)/(Datos!R31-Datos!P31+Datos!Q31-O31)),(Datos!P31-Datos!Q31+O31)/(Datos!R31-Datos!P31+Datos!Q31-O31)," - ")</f>
        <v>-2.1341463414634148E-2</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53.714285714285715</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93.210872041123324</v>
      </c>
      <c r="G33" s="678">
        <f>IF(ISNUMBER(STDEV(G8:G30)),STDEV(G8:G30),"-")</f>
        <v>89.042525955699546</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70.32374116490513</v>
      </c>
      <c r="AK33" s="276"/>
      <c r="AL33" s="276">
        <f>IF(ISNUMBER(STDEV(AL8:AL30)),STDEV(AL8:AL30),"-")</f>
        <v>0</v>
      </c>
      <c r="AM33" s="278">
        <f>IF(ISNUMBER(STDEV(AM8:AM30)),STDEV(AM8:AM30),"-")</f>
        <v>0</v>
      </c>
      <c r="AN33" s="664">
        <f>IF(ISNUMBER(STDEV(AN8:AN30)),STDEV(AN8:AN30),"-")</f>
        <v>0</v>
      </c>
      <c r="AO33" s="665">
        <f>IF(ISNUMBER(STDEV(AO8:AO30)),STDEV(AO8:AO30),"-")</f>
        <v>6.2127914444636474</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pt2zX7QI3nAIPG58b6I4uRQyazfCxGoExdMqgOSlMTRhCFec6w+Mu8el5OruFg5aAq1OlLlsMhYPxyFNbc0LpQ==" saltValue="oQ+6fg4HyCljwkdBDxee0g=="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qSbRT7xmZYbjDQllwzCCSMt/HXvDIPMnytsPJ9maiOm6eieeeWDqJnfN/jVzgH/yUOy/CRz+DQqmhzQJxKTbjg==" saltValue="R+t/828AaG2eps6ZYQlL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xdpdpA9ZJ01LZZFUzyPhFfEATFzrEFHJVXA5DQwyXqjRcb/jPB6rk6a8R+OM0976uTEUvzLpfGg4Ii7P2JxVDQ==" saltValue="ECCtkl7/cIPGQY0yx1dZww=="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ANDALUCIA</v>
      </c>
      <c r="F1" s="859"/>
    </row>
    <row r="2" spans="1:72" ht="16.5" customHeight="1">
      <c r="C2" s="571" t="str">
        <f>Criterios!A10 &amp;"  "&amp;Criterios!B10 &amp; "  " &amp; IF(NOT(ISBLANK(Criterios!A11)),Criterios!A11 &amp;"  "&amp;Criterios!B11,"")</f>
        <v>Provincias  MALAGA  Resumenes por Partidos Judiciales  ARCHIDONA</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0.20370370370370369</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0.14404027024170413</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TNCzdlS1VkKaKYJAf9zPcn8qYpKyd/zSCmzq3ZpmzAW6q8362snLFfi7ZQMLDVUNsOCVyYJXh5ISP/z02h+hzg==" saltValue="9dnkFVzP59gC/+wEngteZA=="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QaWauUahCLaZVByzR/8xCeYEn+IP5xKFq8We3iIkwtFh/vQJzW5sjvQKuLNGJAY9H9lR1JGmstylskDbt/958A==" saltValue="+vBU8TA4x+OV7UUv+QrS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ANDALUCIA</v>
      </c>
      <c r="F1" s="859"/>
      <c r="W1"/>
      <c r="X1"/>
      <c r="BD1" s="859"/>
    </row>
    <row r="2" spans="1:64" ht="16.5" customHeight="1">
      <c r="C2" s="571" t="str">
        <f>Criterios!A10 &amp;"  "&amp;Criterios!B10 &amp; "  " &amp; IF(NOT(ISBLANK(Criterios!A11)),Criterios!A11 &amp;"  "&amp;Criterios!B11,"")</f>
        <v>Provincias  MALAGA  Resumenes por Partidos Judiciales  ARCHIDONA</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0</v>
      </c>
      <c r="B9" s="749" t="s">
        <v>324</v>
      </c>
      <c r="C9" s="770" t="str">
        <f>Datos!A9</f>
        <v xml:space="preserve">Jdos. 1ª Instancia   </v>
      </c>
      <c r="D9" s="597"/>
      <c r="E9" s="907">
        <f>IF(ISNUMBER(Datos!AQ9),Datos!AQ9," - ")</f>
        <v>0</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1</v>
      </c>
      <c r="B10" s="750" t="s">
        <v>324</v>
      </c>
      <c r="C10" s="751" t="str">
        <f>Datos!A10</f>
        <v>Jdos. Violencia contra la mujer</v>
      </c>
      <c r="D10" s="605"/>
      <c r="E10" s="907">
        <f>IF(ISNUMBER(Datos!AQ10),Datos!AQ10," - ")</f>
        <v>0</v>
      </c>
      <c r="F10" s="908">
        <f>IF(ISNUMBER(Datos!L10+Datos!K10-Datos!J10),Datos!L10+Datos!K10-Datos!J10," - ")</f>
        <v>1</v>
      </c>
      <c r="G10" s="909">
        <f>IF(ISNUMBER(Datos!I10),Datos!I10," - ")</f>
        <v>1</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0</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t="str">
        <f>IF(ISNUMBER(DatosP!AS18/E10),DatosP!AS18/E10," - ")</f>
        <v xml:space="preserve"> - </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2</v>
      </c>
      <c r="AC10" s="908" t="str">
        <f>IF(ISNUMBER(IF(D_I="SI",DatosP!K18,DatosP!K18+DatosP!AE18)),IF(D_I="SI",DatosP!K18,DatosP!K18+DatosP!AE18)," - ")</f>
        <v xml:space="preserve"> - </v>
      </c>
      <c r="AD10" s="910"/>
      <c r="AE10" s="910"/>
      <c r="AF10" s="913">
        <f>IF(ISNUMBER(Datos!L10),Datos!L10,"-")</f>
        <v>3</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0</v>
      </c>
      <c r="AM10" s="917">
        <f>IF(ISNUMBER(Datos!N10+DatosP!N18),Datos!N10+DatosP!N18," - ")</f>
        <v>0</v>
      </c>
      <c r="AN10" s="917">
        <f>IF(ISNUMBER(Datos!BW10+DatosP!BW18),Datos!BW10+DatosP!BW18," - ")</f>
        <v>0</v>
      </c>
      <c r="AO10" s="918">
        <f>IF(ISNUMBER(Datos!BX10+DatosP!BX18),Datos!BX10+DatosP!BX18," - ")</f>
        <v>0</v>
      </c>
      <c r="AP10" s="920">
        <f>IF(ISNUMBER(((Datos!L10/Datos!K10)*11)/factor_trimestre),((Datos!L10/Datos!K10)*11)/factor_trimestre," - ")</f>
        <v>16.5</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0</v>
      </c>
      <c r="B11" s="750" t="s">
        <v>324</v>
      </c>
      <c r="C11" s="751" t="str">
        <f>Datos!A11</f>
        <v xml:space="preserve">Jdos. Familia                                   </v>
      </c>
      <c r="D11" s="605"/>
      <c r="E11" s="907">
        <f>IF(ISNUMBER(Datos!AQ11),Datos!AQ11," - ")</f>
        <v>0</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1</v>
      </c>
      <c r="B12" s="750" t="s">
        <v>324</v>
      </c>
      <c r="C12" s="751" t="str">
        <f>Datos!A12</f>
        <v xml:space="preserve">Jdos. 1ª Instª. e Instr.                        </v>
      </c>
      <c r="D12" s="605"/>
      <c r="E12" s="907">
        <f>IF(ISNUMBER(Datos!AQ12),Datos!AQ12," - ")</f>
        <v>1</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150</v>
      </c>
      <c r="O12" s="910">
        <f>IF(ISNUMBER(DatosP!P17),DatosP!P17,0)</f>
        <v>0</v>
      </c>
      <c r="P12" s="910" t="str">
        <f>IF(ISNUMBER(DatosP!DE17),DatosP!DE17," - ")</f>
        <v xml:space="preserve"> - </v>
      </c>
      <c r="Q12" s="911"/>
      <c r="R12" s="911"/>
      <c r="S12" s="910" t="str">
        <f>IF(ISNUMBER(Datos!AS12*(2500/380)+DatosP!AS17),Datos!AS12*(2500/380)+DatosP!AS17," - ")</f>
        <v xml:space="preserve"> - </v>
      </c>
      <c r="T12" s="910">
        <f>IF(ISNUMBER(DatosP!AS17/E12),DatosP!AS17/E12," - ")</f>
        <v>0</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f>IF(ISNUMBER(Datos!Q12),Datos!Q12," - ")</f>
        <v>175</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f>IF(ISNUMBER(Datos!R12),Datos!R12," - ")</f>
        <v>904</v>
      </c>
      <c r="AI12" s="914" t="str">
        <f>IF(ISNUMBER(DatosP!R17),DatosP!R17," - ")</f>
        <v xml:space="preserve"> - </v>
      </c>
      <c r="AJ12" s="907">
        <f>IF(ISNUMBER(Datos!BV12+DatosP!BV17),Datos!BV12+DatosP!BV17," - ")</f>
        <v>0</v>
      </c>
      <c r="AK12" s="915" t="str">
        <f>IF(ISNUMBER(Datos!DV12),Datos!DV12," - ")</f>
        <v xml:space="preserve"> - </v>
      </c>
      <c r="AL12" s="908">
        <f>IF(ISNUMBER(Datos!M12+DatosP!M17),Datos!M12+DatosP!M17," - ")</f>
        <v>132</v>
      </c>
      <c r="AM12" s="917">
        <f>IF(ISNUMBER(Datos!N12+DatosP!N17),Datos!N12+DatosP!N17," - ")</f>
        <v>239</v>
      </c>
      <c r="AN12" s="917">
        <f>IF(ISNUMBER(Datos!BW12+DatosP!BW17),Datos!BW12+DatosP!BW17," - ")</f>
        <v>0</v>
      </c>
      <c r="AO12" s="918">
        <f>IF(ISNUMBER(Datos!BX12+DatosP!BX17),Datos!BX12+DatosP!BX17," - ")</f>
        <v>0</v>
      </c>
      <c r="AP12" s="920">
        <f>IF(ISNUMBER(((IF(J_V="SI",Datos!L12/Datos!K12,(Datos!L12+Datos!AB12)/(Datos!K12+Datos!AA12)))*11)/factor_trimestre),((IF(J_V="SI",Datos!L12/Datos!K12,(Datos!L12+Datos!AB12)/(Datos!K12+Datos!AA12)))*11)/factor_trimestre," - ")</f>
        <v>10.761609907120743</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f>IF(ISNUMBER((Datos!P12-Datos!Q12+Datos!DE12)/(Datos!R12-Datos!P12+Datos!Q12-Datos!DE12)),(Datos!P12-Datos!Q12+Datos!DE12)/(Datos!R12-Datos!P12+Datos!Q12-Datos!DE12)," - ")</f>
        <v>-2.6910656620021529E-2</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1</v>
      </c>
      <c r="F14" s="1261">
        <f t="shared" si="0"/>
        <v>1</v>
      </c>
      <c r="G14" s="1261">
        <f t="shared" si="0"/>
        <v>1</v>
      </c>
      <c r="H14" s="1261">
        <f t="shared" si="0"/>
        <v>0</v>
      </c>
      <c r="I14" s="1263">
        <f t="shared" si="0"/>
        <v>0</v>
      </c>
      <c r="J14" s="1262">
        <f t="shared" si="0"/>
        <v>0</v>
      </c>
      <c r="K14" s="1262">
        <f t="shared" si="0"/>
        <v>0</v>
      </c>
      <c r="L14" s="1264">
        <f t="shared" si="0"/>
        <v>0</v>
      </c>
      <c r="M14" s="1264">
        <f t="shared" si="0"/>
        <v>0</v>
      </c>
      <c r="N14" s="1262">
        <f t="shared" si="0"/>
        <v>150</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2</v>
      </c>
      <c r="AC14" s="1262">
        <f t="shared" si="1"/>
        <v>0</v>
      </c>
      <c r="AD14" s="1262">
        <f t="shared" si="1"/>
        <v>175</v>
      </c>
      <c r="AE14" s="1262">
        <f t="shared" si="1"/>
        <v>0</v>
      </c>
      <c r="AF14" s="1262">
        <f t="shared" si="1"/>
        <v>3</v>
      </c>
      <c r="AG14" s="1262">
        <f t="shared" si="1"/>
        <v>0</v>
      </c>
      <c r="AH14" s="1262">
        <f t="shared" si="1"/>
        <v>904</v>
      </c>
      <c r="AI14" s="1262">
        <f t="shared" si="1"/>
        <v>0</v>
      </c>
      <c r="AJ14" s="1262">
        <f t="shared" si="1"/>
        <v>0</v>
      </c>
      <c r="AK14" s="1262">
        <f t="shared" si="1"/>
        <v>0</v>
      </c>
      <c r="AL14" s="1262">
        <f t="shared" si="1"/>
        <v>132</v>
      </c>
      <c r="AM14" s="1262">
        <f t="shared" si="1"/>
        <v>239</v>
      </c>
      <c r="AN14" s="1262">
        <f t="shared" si="1"/>
        <v>0</v>
      </c>
      <c r="AO14" s="1262">
        <f t="shared" si="1"/>
        <v>0</v>
      </c>
      <c r="AP14" s="1267">
        <f>IF(ISNUMBER(((Datos!L14/Datos!K14)*11)/factor_trimestre),((Datos!L14/Datos!K14)*11)/factor_trimestre," - ")</f>
        <v>11.299829642248723</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-2</v>
      </c>
      <c r="AU14" s="1262" t="str">
        <f>IF(ISNUMBER((DatosP!#REF!-DatosP!#REF!+DatosP!#REF!)/(DatosP!#REF!+DatosP!#REF!-DatosP!#REF!-DatosP!#REF!)),(DatosP!#REF!-DatosP!#REF!+DatosP!#REF!)/(DatosP!#REF!+DatosP!#REF!-DatosP!#REF!-DatosP!#REF!)," - ")</f>
        <v xml:space="preserve"> - </v>
      </c>
      <c r="AV14" s="1268">
        <f>SUBTOTAL(9,AV9:AV13)</f>
        <v>-2.6910656620021529E-2</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0</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1</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1</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2.109278350515464</v>
      </c>
      <c r="AQ23" s="1267">
        <f>IF(ISNUMBER(((Datos!M23/Datos!L23)*11)/factor_trimestre),((Datos!M23/Datos!L23)*11)/factor_trimestre," - ")</f>
        <v>8.043010752688172</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7.2727272727272724E-2</v>
      </c>
      <c r="AW23" s="1270">
        <f>IF(ISNUMBER((Datos!Q23-Datos!R23)/(Datos!S23-Datos!Q23+Datos!R23)),(Datos!Q23-Datos!R23)/(Datos!S23-Datos!Q23+Datos!R23)," - ")</f>
        <v>-0.13478260869565217</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1</v>
      </c>
      <c r="F31" s="1283">
        <f t="shared" si="8"/>
        <v>1</v>
      </c>
      <c r="G31" s="1283">
        <f t="shared" si="8"/>
        <v>1</v>
      </c>
      <c r="H31" s="1283">
        <f t="shared" si="8"/>
        <v>0</v>
      </c>
      <c r="I31" s="1284">
        <f t="shared" si="8"/>
        <v>0</v>
      </c>
      <c r="J31" s="1285">
        <f t="shared" si="8"/>
        <v>0</v>
      </c>
      <c r="K31" s="1285">
        <f t="shared" si="8"/>
        <v>0</v>
      </c>
      <c r="L31" s="1285">
        <f t="shared" si="8"/>
        <v>0</v>
      </c>
      <c r="M31" s="1285">
        <f t="shared" si="8"/>
        <v>0</v>
      </c>
      <c r="N31" s="1284">
        <f t="shared" si="8"/>
        <v>150</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2</v>
      </c>
      <c r="AC31" s="1289">
        <f t="shared" si="9"/>
        <v>0</v>
      </c>
      <c r="AD31" s="1289">
        <f t="shared" si="9"/>
        <v>175</v>
      </c>
      <c r="AE31" s="1289">
        <f t="shared" si="9"/>
        <v>0</v>
      </c>
      <c r="AF31" s="1290">
        <f t="shared" si="9"/>
        <v>3</v>
      </c>
      <c r="AG31" s="1290">
        <f t="shared" si="9"/>
        <v>0</v>
      </c>
      <c r="AH31" s="1290">
        <f t="shared" si="9"/>
        <v>904</v>
      </c>
      <c r="AI31" s="1290">
        <f t="shared" si="9"/>
        <v>0</v>
      </c>
      <c r="AJ31" s="1291">
        <f t="shared" si="9"/>
        <v>0</v>
      </c>
      <c r="AK31" s="1291">
        <f t="shared" si="9"/>
        <v>0</v>
      </c>
      <c r="AL31" s="1283">
        <f t="shared" si="9"/>
        <v>132</v>
      </c>
      <c r="AM31" s="1283">
        <f t="shared" si="9"/>
        <v>239</v>
      </c>
      <c r="AN31" s="1283">
        <f t="shared" si="9"/>
        <v>0</v>
      </c>
      <c r="AO31" s="1283">
        <f t="shared" si="9"/>
        <v>0</v>
      </c>
      <c r="AP31" s="1283">
        <f>IF(ISNUMBER(((Datos!L31/Datos!K31)*11)/factor_trimestre),((Datos!L31/Datos!K31)*11)/factor_trimestre," - ")</f>
        <v>5.5741811175337181</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-2</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-2.1341463414634148E-2</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0.4</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0.44095855184409843</v>
      </c>
      <c r="F33" s="1009">
        <f>IF(ISNUMBER(STDEV(F8:F30)),STDEV(F8:F30),"-")</f>
        <v>0.54772255750516607</v>
      </c>
      <c r="G33" s="1010">
        <f>IF(ISNUMBER(STDEV(G8:G30)),STDEV(G8:G30),"-")</f>
        <v>0.54772255750516607</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1.0954451150103321</v>
      </c>
      <c r="AC33" s="1011">
        <f>IF(ISNUMBER(STDEV(AC8:AC30)),STDEV(AC8:AC30),"-")</f>
        <v>0</v>
      </c>
      <c r="AD33" s="1014"/>
      <c r="AE33" s="1014"/>
      <c r="AF33" s="1014"/>
      <c r="AG33" s="1014"/>
      <c r="AH33" s="1014"/>
      <c r="AI33" s="1014"/>
      <c r="AJ33" s="1015">
        <f>IF(ISNUMBER(STDEV(AJ8:AJ30)),STDEV(AJ8:AJ30),"-")</f>
        <v>0</v>
      </c>
      <c r="AK33" s="1017"/>
      <c r="AL33" s="1009">
        <f>IF(ISNUMBER(STDEV(AL8:AL30)),STDEV(AL8:AL30),"-")</f>
        <v>68.164506893250532</v>
      </c>
      <c r="AM33" s="1009"/>
      <c r="AN33" s="1009">
        <f>IF(ISNUMBER(STDEV(AN8:AN30)),STDEV(AN8:AN30),"-")</f>
        <v>0</v>
      </c>
      <c r="AO33" s="1015">
        <f>IF(ISNUMBER(STDEV(AO8:AO30)),STDEV(AO8:AO30),"-")</f>
        <v>0</v>
      </c>
      <c r="AP33" s="1068">
        <f>IF(ISNUMBER(STDEV(AP8:AP30)),STDEV(AP8:AP30),"-")</f>
        <v>5.9629586972081299</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dbFroimP7m9OHPit9l0RxOfmL4TpfNYXaHjB7+pn7FIBGkWjShAbyHUPXqrAOWzNflVceL61E0FeFE4PKJPnXw==" saltValue="sUmrzbimSfMWZbN1mtV1Ww=="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2022-04-05T09:30:11Z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